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会計連携" sheetId="1" r:id="rId4"/>
  </sheets>
  <definedNames>
    <definedName name="_xlnm._FilterDatabase" localSheetId="0" hidden="1">'会計連携'!$A$1:$Z$2</definedName>
    <definedName name="_xlnm.Print_Area" localSheetId="0">'会計連携'!$A$1:$S$1801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<sst xmlns="http://schemas.openxmlformats.org/spreadsheetml/2006/main" uniqueCount="1590">
  <si>
    <t>請求日</t>
  </si>
  <si>
    <t>入金日</t>
  </si>
  <si>
    <t>勘定科目</t>
  </si>
  <si>
    <t>合計</t>
  </si>
  <si>
    <t>2 八重洲　</t>
  </si>
  <si>
    <t>3 滋賀</t>
  </si>
  <si>
    <t>12 神戸</t>
  </si>
  <si>
    <t>4 名古屋</t>
  </si>
  <si>
    <t>福岡(宮崎)</t>
  </si>
  <si>
    <t>7 仙台</t>
  </si>
  <si>
    <t>9 本部</t>
  </si>
  <si>
    <t>11 札幌</t>
  </si>
  <si>
    <t>請求先</t>
  </si>
  <si>
    <t>請求先2</t>
  </si>
  <si>
    <t>担当事務所</t>
  </si>
  <si>
    <t>適用</t>
  </si>
  <si>
    <t>締め日</t>
  </si>
  <si>
    <t>数量</t>
  </si>
  <si>
    <t>単価</t>
  </si>
  <si>
    <t>2026/02/20</t>
  </si>
  <si>
    <t>手数料収入</t>
  </si>
  <si>
    <t>S-ROAD㈱</t>
  </si>
  <si>
    <t>S-ROAD</t>
  </si>
  <si>
    <t>本部</t>
  </si>
  <si>
    <t>支援監理費</t>
  </si>
  <si>
    <t>2026/03/19</t>
  </si>
  <si>
    <t>特技手数料収入</t>
  </si>
  <si>
    <t>3期 特定技能外国人支援手数料（03/21～04/20）</t>
  </si>
  <si>
    <t>PHIL-JAPAN</t>
  </si>
  <si>
    <t>派遣機関ﾌｨｰ受入</t>
  </si>
  <si>
    <t>送り出し機関支援管理費</t>
  </si>
  <si>
    <t>INTERSKILLS DEVELOPMENT FOUNDATION INC.</t>
  </si>
  <si>
    <t>特技派遣機関ﾌｨｰ受入</t>
  </si>
  <si>
    <t>3期 特定技能外国人送出機関支援協力費（03/21～04/20）</t>
  </si>
  <si>
    <t>THAI SYNTAX</t>
  </si>
  <si>
    <t>S-ROAD㈱ 集計</t>
  </si>
  <si>
    <t>SULECO</t>
  </si>
  <si>
    <t>S.T雅㈱</t>
  </si>
  <si>
    <t>中国交遠国際経済技術合作公司</t>
  </si>
  <si>
    <t>CONSTREXIM</t>
  </si>
  <si>
    <t>請求データ総合計</t>
  </si>
  <si>
    <t>手数料収入（就労）</t>
  </si>
  <si>
    <t>外部通訳翻訳費用</t>
  </si>
  <si>
    <t>特定技能外国人支援初期費用</t>
  </si>
  <si>
    <t>駐在業務費</t>
  </si>
  <si>
    <t>137のみ計上</t>
  </si>
  <si>
    <t>日本語習得支援費受入</t>
  </si>
  <si>
    <t>資格取得支援費受入</t>
  </si>
  <si>
    <t>IHI修得支援費受入</t>
  </si>
  <si>
    <t>相談支援費</t>
  </si>
  <si>
    <t>印紙代　３号</t>
  </si>
  <si>
    <t>137・327</t>
  </si>
  <si>
    <t>雇入時健診費</t>
  </si>
  <si>
    <t>帰国渡航費（3号前）</t>
  </si>
  <si>
    <t>帰国渡航費</t>
  </si>
  <si>
    <t>往復渡航費（3号前）</t>
  </si>
  <si>
    <t>入国渡航費（3号前）</t>
  </si>
  <si>
    <t>入国渡航費</t>
  </si>
  <si>
    <t>入国後講習費</t>
  </si>
  <si>
    <t>国内移動費</t>
  </si>
  <si>
    <t>仮払金</t>
  </si>
  <si>
    <t>計画認定料受入</t>
  </si>
  <si>
    <t>預り金</t>
  </si>
  <si>
    <t>雑費</t>
  </si>
  <si>
    <t>特技入管手続料受入　印紙</t>
  </si>
  <si>
    <t>特技入管手続料受入</t>
  </si>
  <si>
    <t>入国前講習費</t>
  </si>
  <si>
    <t>その他　支払</t>
  </si>
  <si>
    <t>職業紹介費</t>
  </si>
  <si>
    <t>講習手当</t>
  </si>
  <si>
    <t>仮受金</t>
  </si>
  <si>
    <t>出資金</t>
  </si>
  <si>
    <t>未収入金</t>
  </si>
  <si>
    <t>技検試験料受入</t>
  </si>
  <si>
    <t>特技NBCC保険料受入</t>
  </si>
  <si>
    <t>建設NBCC保険料受入</t>
  </si>
  <si>
    <t>建設JITCO保険料受入</t>
  </si>
  <si>
    <t>NBCC保険料受入</t>
  </si>
  <si>
    <t>JITCO保険料受入</t>
  </si>
  <si>
    <t>JITCO年会費受入</t>
  </si>
  <si>
    <t>建設JITCO入管手続料受入</t>
  </si>
  <si>
    <t>JITCO入管手続料受入　印紙</t>
  </si>
  <si>
    <t>JITCO入管手続料受入</t>
  </si>
  <si>
    <t>集合研修費受入</t>
  </si>
  <si>
    <t>その他　受入</t>
  </si>
  <si>
    <t>立替金</t>
  </si>
  <si>
    <t>＜内訳＞</t>
  </si>
  <si>
    <t>その他</t>
  </si>
  <si>
    <t>共同情報提供料受入</t>
  </si>
  <si>
    <t>建設派遣機関ﾌｨｰ受入</t>
  </si>
  <si>
    <t>特定活動支援手数料</t>
  </si>
  <si>
    <t>その他収入</t>
  </si>
  <si>
    <t>建設手数料収入</t>
  </si>
  <si>
    <t>札幌</t>
  </si>
  <si>
    <t>仙台</t>
  </si>
  <si>
    <t>福岡･宮崎</t>
  </si>
  <si>
    <t>名古屋</t>
  </si>
  <si>
    <t>神戸</t>
  </si>
  <si>
    <t>滋賀</t>
  </si>
  <si>
    <t>八重洲　</t>
  </si>
  <si>
    <t>TIC収入</t>
  </si>
  <si>
    <t>前月</t>
  </si>
  <si>
    <t>327未払計</t>
  </si>
  <si>
    <t>137未収計</t>
  </si>
  <si>
    <t>S.T雅㈱ 集計</t>
  </si>
  <si>
    <t>SKK㈱</t>
  </si>
  <si>
    <t>SKK㈱ 集計</t>
  </si>
  <si>
    <t>アイチ物流㈱</t>
  </si>
  <si>
    <t>アイチ物流㈱ 集計</t>
  </si>
  <si>
    <t>アイチ製函㈱</t>
  </si>
  <si>
    <t>アイチ製函㈱ 集計</t>
  </si>
  <si>
    <t>エームサービス㈱　西日本HSS事業本部</t>
  </si>
  <si>
    <t>エームサービス㈱　西日本HSS事業本部 集計</t>
  </si>
  <si>
    <t>エルリングクリンガー･マルサン㈱</t>
  </si>
  <si>
    <t>エルリングクリンガー･マルサン㈱ 集計</t>
  </si>
  <si>
    <t>ケーブルテクニカ㈱</t>
  </si>
  <si>
    <t>ケーブルテクニカ㈱ 集計</t>
  </si>
  <si>
    <t>けやき道路工業㈱</t>
  </si>
  <si>
    <t>けやき道路工業㈱ 集計</t>
  </si>
  <si>
    <t>ケンコーマヨネーズ㈱</t>
  </si>
  <si>
    <t>ケンコーマヨネーズ㈱ 集計</t>
  </si>
  <si>
    <t>サウスジャパン㈱</t>
  </si>
  <si>
    <t>サウスジャパン㈱ 集計</t>
  </si>
  <si>
    <t>シンテックス㈱</t>
  </si>
  <si>
    <t>シンテックス㈱ 集計</t>
  </si>
  <si>
    <t>ダイハツインフィニアース姫路㈱</t>
  </si>
  <si>
    <t>ダイハツインフィニアース姫路㈱ 集計</t>
  </si>
  <si>
    <t>タナカフォーサイト㈱</t>
  </si>
  <si>
    <t>タナカフォーサイト㈱ 集計</t>
  </si>
  <si>
    <t>トーソー㈱</t>
  </si>
  <si>
    <t>トーソー㈱ 集計</t>
  </si>
  <si>
    <t>トップライン㈱</t>
  </si>
  <si>
    <t>トップライン㈱ 集計</t>
  </si>
  <si>
    <t>ライラック・フーズ㈱</t>
  </si>
  <si>
    <t>ライラック・フーズ㈱ 集計</t>
  </si>
  <si>
    <t>中部工業㈱</t>
  </si>
  <si>
    <t>中部工業㈱ 集計</t>
  </si>
  <si>
    <t>丸三工業㈱</t>
  </si>
  <si>
    <t>丸三工業㈱ 集計</t>
  </si>
  <si>
    <t>加山興業㈱</t>
  </si>
  <si>
    <t>加山興業㈱ 集計</t>
  </si>
  <si>
    <t>博興建設㈱</t>
  </si>
  <si>
    <t>博興建設㈱ 集計</t>
  </si>
  <si>
    <t>古川工業㈱</t>
  </si>
  <si>
    <t>古川工業㈱ 集計</t>
  </si>
  <si>
    <t>吉村興業㈱</t>
  </si>
  <si>
    <t>吉村興業㈱ 集計</t>
  </si>
  <si>
    <t>周防電機㈱</t>
  </si>
  <si>
    <t>周防電機㈱ 集計</t>
  </si>
  <si>
    <t>壮鉄鋼業㈱</t>
  </si>
  <si>
    <t>壮鉄鋼業㈱ 集計</t>
  </si>
  <si>
    <t>大野工業㈱</t>
  </si>
  <si>
    <t>大野工業㈱ 集計</t>
  </si>
  <si>
    <t>太平興業㈱　三条支店</t>
  </si>
  <si>
    <t>太平興業㈱　三条支店 集計</t>
  </si>
  <si>
    <t>太平興業㈱　上越支店</t>
  </si>
  <si>
    <t>太平興業㈱　上越支店 集計</t>
  </si>
  <si>
    <t>太平興業㈱　大館支店</t>
  </si>
  <si>
    <t>太平興業㈱　大館支店 集計</t>
  </si>
  <si>
    <t>太平興業㈱　山形支店</t>
  </si>
  <si>
    <t>太平興業㈱　山形支店 集計</t>
  </si>
  <si>
    <t>太平興業㈱　新潟支店</t>
  </si>
  <si>
    <t>太平興業㈱　新潟支店 集計</t>
  </si>
  <si>
    <t>太平興業㈱　新発田支店</t>
  </si>
  <si>
    <t>太平興業㈱　新発田支店 集計</t>
  </si>
  <si>
    <t>太平興業㈱　横手支店</t>
  </si>
  <si>
    <t>太平興業㈱　横手支店 集計</t>
  </si>
  <si>
    <t>太平興業㈱　秋田支店</t>
  </si>
  <si>
    <t>太平興業㈱　秋田支店 集計</t>
  </si>
  <si>
    <t>太平興業㈱　米沢支店</t>
  </si>
  <si>
    <t>太平興業㈱　米沢支店 集計</t>
  </si>
  <si>
    <t>太平興業㈱　荘内支店</t>
  </si>
  <si>
    <t>太平興業㈱　荘内支店 集計</t>
  </si>
  <si>
    <t>太平興業㈱　長岡支店</t>
  </si>
  <si>
    <t>太平興業㈱　長岡支店 集計</t>
  </si>
  <si>
    <t>太平興業㈱　魚沼支店</t>
  </si>
  <si>
    <t>太平興業㈱　魚沼支店 集計</t>
  </si>
  <si>
    <t>太平興業㈱　鶴岡支店</t>
  </si>
  <si>
    <t>太平興業㈱　鶴岡支店 集計</t>
  </si>
  <si>
    <t>富川工業㈱</t>
  </si>
  <si>
    <t>富川工業㈱ 集計</t>
  </si>
  <si>
    <t>小川工業㈱</t>
  </si>
  <si>
    <t>小川工業㈱ 集計</t>
  </si>
  <si>
    <t>岩永鉄筋㈱</t>
  </si>
  <si>
    <t>岩永鉄筋㈱ 集計</t>
  </si>
  <si>
    <t>巧立建装㈱</t>
  </si>
  <si>
    <t>巧立建装㈱ 集計</t>
  </si>
  <si>
    <t>平世美装㈱</t>
  </si>
  <si>
    <t>平世美装㈱ 集計</t>
  </si>
  <si>
    <t>平岩建設㈱</t>
  </si>
  <si>
    <t>平岩建設㈱ 集計</t>
  </si>
  <si>
    <t>平成興業㈱</t>
  </si>
  <si>
    <t>平成興業㈱ 集計</t>
  </si>
  <si>
    <t>庄福工業㈱</t>
  </si>
  <si>
    <t>庄福工業㈱ 集計</t>
  </si>
  <si>
    <t>徳永工事㈱</t>
  </si>
  <si>
    <t>徳永工事㈱ 集計</t>
  </si>
  <si>
    <t>扶桑チューブパーツ㈱</t>
  </si>
  <si>
    <t>扶桑チューブパーツ㈱ 集計</t>
  </si>
  <si>
    <t>扶桑鋼管㈱</t>
  </si>
  <si>
    <t>扶桑鋼管㈱ 集計</t>
  </si>
  <si>
    <t>日改興業㈲</t>
  </si>
  <si>
    <t>日改興業㈲ 集計</t>
  </si>
  <si>
    <t>日電工業㈱</t>
  </si>
  <si>
    <t>日電工業㈱ 集計</t>
  </si>
  <si>
    <t>明成建設㈱</t>
  </si>
  <si>
    <t>明成建設㈱ 集計</t>
  </si>
  <si>
    <t>㈲FLASH RISE</t>
  </si>
  <si>
    <t>㈲FLASH RISE 集計</t>
  </si>
  <si>
    <t>㈲インテリア大和</t>
  </si>
  <si>
    <t>㈲インテリア大和 集計</t>
  </si>
  <si>
    <t>㈲カトキン</t>
  </si>
  <si>
    <t>㈲カトキン 集計</t>
  </si>
  <si>
    <t>㈲しらさぎ苑</t>
  </si>
  <si>
    <t>㈲しらさぎ苑 集計</t>
  </si>
  <si>
    <t>㈲セルビス</t>
  </si>
  <si>
    <t>㈲セルビス 集計</t>
  </si>
  <si>
    <t>㈲ナカバ建設</t>
  </si>
  <si>
    <t>㈲ナカバ建設 集計</t>
  </si>
  <si>
    <t>㈲フルサワ建材</t>
  </si>
  <si>
    <t>㈲フルサワ建材 集計</t>
  </si>
  <si>
    <t>㈲ベネレイト</t>
  </si>
  <si>
    <t>㈲ベネレイト 集計</t>
  </si>
  <si>
    <t>㈲マサノリ工務店</t>
  </si>
  <si>
    <t>㈲マサノリ工務店 集計</t>
  </si>
  <si>
    <t>㈲マルフクメディカルフーズ</t>
  </si>
  <si>
    <t>㈲マルフクメディカルフーズ 集計</t>
  </si>
  <si>
    <t>㈲三陸工業</t>
  </si>
  <si>
    <t>㈲三陸工業 集計</t>
  </si>
  <si>
    <t>㈲京吉</t>
  </si>
  <si>
    <t>㈲京吉 集計</t>
  </si>
  <si>
    <t>㈲住宅管理社</t>
  </si>
  <si>
    <t>㈲住宅管理社 集計</t>
  </si>
  <si>
    <t>㈲入江工業</t>
  </si>
  <si>
    <t>㈲入江工業 集計</t>
  </si>
  <si>
    <t>㈲加澤商店</t>
  </si>
  <si>
    <t>㈲加澤商店 集計</t>
  </si>
  <si>
    <t>㈲匠技建</t>
  </si>
  <si>
    <t>㈲匠技建 集計</t>
  </si>
  <si>
    <t>㈲安斉興業</t>
  </si>
  <si>
    <t>㈲安斉興業 集計</t>
  </si>
  <si>
    <t>㈲富井工業</t>
  </si>
  <si>
    <t>㈲富井工業 集計</t>
  </si>
  <si>
    <t>㈲小林興業</t>
  </si>
  <si>
    <t>㈲小林興業 集計</t>
  </si>
  <si>
    <t>㈲日野土建</t>
  </si>
  <si>
    <t>㈲日野土建 集計</t>
  </si>
  <si>
    <t>㈲旭工務店</t>
  </si>
  <si>
    <t>㈲旭工務店 集計</t>
  </si>
  <si>
    <t>㈲曽根土木</t>
  </si>
  <si>
    <t>㈲曽根土木 集計</t>
  </si>
  <si>
    <t>㈲木村工業</t>
  </si>
  <si>
    <t>㈲木村工業 集計</t>
  </si>
  <si>
    <t>㈲東滋産業</t>
  </si>
  <si>
    <t>㈲東滋産業 集計</t>
  </si>
  <si>
    <t>㈲深花園</t>
  </si>
  <si>
    <t>㈲深花園 集計</t>
  </si>
  <si>
    <t>㈲渡部</t>
  </si>
  <si>
    <t>㈲渡部 集計</t>
  </si>
  <si>
    <t>㈲牛澤工務店</t>
  </si>
  <si>
    <t>㈲牛澤工務店 集計</t>
  </si>
  <si>
    <t>㈲田澤巧業</t>
  </si>
  <si>
    <t>㈲田澤巧業 集計</t>
  </si>
  <si>
    <t>㈲福浦組</t>
  </si>
  <si>
    <t>㈲福浦組 集計</t>
  </si>
  <si>
    <t>㈲福谷舗道</t>
  </si>
  <si>
    <t>㈲福谷舗道 集計</t>
  </si>
  <si>
    <t>㈲竹田建設</t>
  </si>
  <si>
    <t>㈲竹田建設 集計</t>
  </si>
  <si>
    <t>㈲篠﨑建設</t>
  </si>
  <si>
    <t>㈲篠﨑建設 集計</t>
  </si>
  <si>
    <t>㈲鋼鉄筋</t>
  </si>
  <si>
    <t>㈲鋼鉄筋 集計</t>
  </si>
  <si>
    <t>㈲阿部敏工務店</t>
  </si>
  <si>
    <t>㈲阿部敏工務店 集計</t>
  </si>
  <si>
    <t>東洋プレコン工業㈱</t>
  </si>
  <si>
    <t>東洋プレコン工業㈱ 集計</t>
  </si>
  <si>
    <t>松岡㈱</t>
  </si>
  <si>
    <t>松岡㈱ 集計</t>
  </si>
  <si>
    <t>栗野工務店</t>
  </si>
  <si>
    <t>栗野工務店 集計</t>
  </si>
  <si>
    <t>㈱ATACO</t>
  </si>
  <si>
    <t>㈱ATACO 集計</t>
  </si>
  <si>
    <t>㈱Ｋ２</t>
  </si>
  <si>
    <t>㈱Ｋ２ 集計</t>
  </si>
  <si>
    <t>㈱MRTエンジニアリング</t>
  </si>
  <si>
    <t>㈱MRTエンジニアリング 集計</t>
  </si>
  <si>
    <t>㈱SOERUTE</t>
  </si>
  <si>
    <t>㈱SOERUTE 集計</t>
  </si>
  <si>
    <t>㈱SUBARU</t>
  </si>
  <si>
    <t>㈱SUBARU 集計</t>
  </si>
  <si>
    <t>㈱アブソルト</t>
  </si>
  <si>
    <t>㈱アブソルト 集計</t>
  </si>
  <si>
    <t>㈱エアーポートカーゴサービス</t>
  </si>
  <si>
    <t>㈱エアーポートカーゴサービス 集計</t>
  </si>
  <si>
    <t>㈱オニワ</t>
  </si>
  <si>
    <t>㈱オニワ 集計</t>
  </si>
  <si>
    <t>㈱ゴーナイエレック</t>
  </si>
  <si>
    <t>㈱ゴーナイエレック 集計</t>
  </si>
  <si>
    <t>㈱コウケン室内</t>
  </si>
  <si>
    <t>㈱コウケン室内 集計</t>
  </si>
  <si>
    <t>㈱サトウ商会</t>
  </si>
  <si>
    <t>㈱サトウ商会 集計</t>
  </si>
  <si>
    <t>㈱シライシ</t>
  </si>
  <si>
    <t>㈱シライシ 集計</t>
  </si>
  <si>
    <t>㈱スパンカーシステム</t>
  </si>
  <si>
    <t>㈱スパンカーシステム 集計</t>
  </si>
  <si>
    <t>㈱ダイイチテック</t>
  </si>
  <si>
    <t>㈱ダイイチテック 集計</t>
  </si>
  <si>
    <t>㈱ダイエットクック白老</t>
  </si>
  <si>
    <t>㈱ダイエットクック白老 集計</t>
  </si>
  <si>
    <t>㈱ツナシマ</t>
  </si>
  <si>
    <t>㈱ツナシマ 集計</t>
  </si>
  <si>
    <t>㈱トーユー</t>
  </si>
  <si>
    <t>㈱トーユー 集計</t>
  </si>
  <si>
    <t>㈱トダカクリエイト</t>
  </si>
  <si>
    <t>㈱トダカクリエイト 集計</t>
  </si>
  <si>
    <t>㈱とだか建設</t>
  </si>
  <si>
    <t>㈱とだか建設 集計</t>
  </si>
  <si>
    <t>㈱ヒロ建設</t>
  </si>
  <si>
    <t>㈱ヒロ建設 集計</t>
  </si>
  <si>
    <t>㈱ファクトリー田山</t>
  </si>
  <si>
    <t>㈱ファクトリー田山 集計</t>
  </si>
  <si>
    <t>㈱フルカワ</t>
  </si>
  <si>
    <t>㈱フルカワ 集計</t>
  </si>
  <si>
    <t>㈱ホリコー</t>
  </si>
  <si>
    <t>㈱ホリコー 集計</t>
  </si>
  <si>
    <t>㈱ホンダモビリティ中部</t>
  </si>
  <si>
    <t>㈱ホンダモビリティ中部 集計</t>
  </si>
  <si>
    <t>㈱ホンダ自動車加賀</t>
  </si>
  <si>
    <t>㈱ホンダ自動車加賀 集計</t>
  </si>
  <si>
    <t>㈱マルズ</t>
  </si>
  <si>
    <t>㈱マルズ 集計</t>
  </si>
  <si>
    <t>㈱ミドリテクノパーク</t>
  </si>
  <si>
    <t>㈱ミドリテクノパーク 集計</t>
  </si>
  <si>
    <t>㈱メフォス　首都圏第二事業部　ユー・アイ久楽部</t>
  </si>
  <si>
    <t>㈱メフォス　首都圏第二事業部　ユー・アイ久楽部 集計</t>
  </si>
  <si>
    <t>㈱ワコーファッション</t>
  </si>
  <si>
    <t>㈱ワコーファッション 集計</t>
  </si>
  <si>
    <t>㈱丸忠産業</t>
  </si>
  <si>
    <t>㈱丸忠産業 集計</t>
  </si>
  <si>
    <t>㈱五郎八</t>
  </si>
  <si>
    <t>㈱五郎八 集計</t>
  </si>
  <si>
    <t>㈱信商</t>
  </si>
  <si>
    <t>㈱信商 集計</t>
  </si>
  <si>
    <t>㈱光自動車</t>
  </si>
  <si>
    <t>㈱光自動車 集計</t>
  </si>
  <si>
    <t>㈱光製作所</t>
  </si>
  <si>
    <t>㈱光製作所 集計</t>
  </si>
  <si>
    <t>㈱共栄ネット</t>
  </si>
  <si>
    <t>㈱共栄ネット 集計</t>
  </si>
  <si>
    <t>㈱創友建設工業</t>
  </si>
  <si>
    <t>㈱創友建設工業 集計</t>
  </si>
  <si>
    <t>㈱加森観光本社</t>
  </si>
  <si>
    <t>㈱加森観光本社 集計</t>
  </si>
  <si>
    <t>㈱協和パレット</t>
  </si>
  <si>
    <t>㈱協和パレット 集計</t>
  </si>
  <si>
    <t>㈱南建設</t>
  </si>
  <si>
    <t>㈱南建設 集計</t>
  </si>
  <si>
    <t>㈱大村総業</t>
  </si>
  <si>
    <t>㈱大村総業 集計</t>
  </si>
  <si>
    <t>㈱大鷹組</t>
  </si>
  <si>
    <t>㈱大鷹組 集計</t>
  </si>
  <si>
    <t>㈱太洋工業</t>
  </si>
  <si>
    <t>㈱太洋工業 集計</t>
  </si>
  <si>
    <t>㈱守屋工業所</t>
  </si>
  <si>
    <t>㈱守屋工業所 集計</t>
  </si>
  <si>
    <t>㈱安部建設</t>
  </si>
  <si>
    <t>㈱安部建設 集計</t>
  </si>
  <si>
    <t>㈱富士見道路</t>
  </si>
  <si>
    <t>㈱富士見道路 集計</t>
  </si>
  <si>
    <t>㈱小保方建鐵工業</t>
  </si>
  <si>
    <t>㈱小保方建鐵工業 集計</t>
  </si>
  <si>
    <t>㈱小滝電機製作所</t>
  </si>
  <si>
    <t>㈱小滝電機製作所 集計</t>
  </si>
  <si>
    <t>㈱崎原工業</t>
  </si>
  <si>
    <t>㈱崎原工業 集計</t>
  </si>
  <si>
    <t>㈱川上建築</t>
  </si>
  <si>
    <t>㈱川上建築 集計</t>
  </si>
  <si>
    <t>㈱平山工業</t>
  </si>
  <si>
    <t>㈱平山工業 集計</t>
  </si>
  <si>
    <t>㈱建勝</t>
  </si>
  <si>
    <t>㈱建勝 集計</t>
  </si>
  <si>
    <t>㈱建設工業カリン</t>
  </si>
  <si>
    <t>㈱建設工業カリン 集計</t>
  </si>
  <si>
    <t>㈱志田水産</t>
  </si>
  <si>
    <t>㈱志田水産 集計</t>
  </si>
  <si>
    <t>㈱成信工業</t>
  </si>
  <si>
    <t>㈱成信工業 集計</t>
  </si>
  <si>
    <t>㈱戸田組</t>
  </si>
  <si>
    <t>㈱戸田組 集計</t>
  </si>
  <si>
    <t>㈱斗米工業</t>
  </si>
  <si>
    <t>㈱斗米工業 集計</t>
  </si>
  <si>
    <t>㈱新生工務 岡山営業所</t>
  </si>
  <si>
    <t>㈱新生工務 岡山営業所 集計</t>
  </si>
  <si>
    <t>㈱新生工務 広島営業所</t>
  </si>
  <si>
    <t>㈱新生工務 広島営業所 集計</t>
  </si>
  <si>
    <t>㈱新田工業</t>
  </si>
  <si>
    <t>㈱新田工業 集計</t>
  </si>
  <si>
    <t>㈱日建</t>
  </si>
  <si>
    <t>㈱日建 集計</t>
  </si>
  <si>
    <t>㈱日本エンジニア</t>
  </si>
  <si>
    <t>㈱日本エンジニア 集計</t>
  </si>
  <si>
    <t>㈱星光建設</t>
  </si>
  <si>
    <t>㈱星光建設 集計</t>
  </si>
  <si>
    <t>㈱望月工務店</t>
  </si>
  <si>
    <t>㈱望月工務店 集計</t>
  </si>
  <si>
    <t>㈱東京エネシス</t>
  </si>
  <si>
    <t>㈱東京エネシス 集計</t>
  </si>
  <si>
    <t>㈱東和建鋼社</t>
  </si>
  <si>
    <t>㈱東和建鋼社 集計</t>
  </si>
  <si>
    <t>㈱松永建設</t>
  </si>
  <si>
    <t>㈱松永建設 集計</t>
  </si>
  <si>
    <t>㈱株本</t>
  </si>
  <si>
    <t>㈱株本 集計</t>
  </si>
  <si>
    <t>㈱泉興業</t>
  </si>
  <si>
    <t>㈱泉興業 集計</t>
  </si>
  <si>
    <t>㈱浅野屋</t>
  </si>
  <si>
    <t>㈱浅野屋 集計</t>
  </si>
  <si>
    <t>㈱湖蓉総業</t>
  </si>
  <si>
    <t>㈱湖蓉総業 集計</t>
  </si>
  <si>
    <t>㈱爽健亭 習志野工場</t>
  </si>
  <si>
    <t>㈱爽健亭 習志野工場 集計</t>
  </si>
  <si>
    <t>㈱甲斐ガス圧接</t>
  </si>
  <si>
    <t>㈱甲斐ガス圧接 集計</t>
  </si>
  <si>
    <t>㈱秀豊</t>
  </si>
  <si>
    <t>㈱秀豊 集計</t>
  </si>
  <si>
    <t>㈱米伸</t>
  </si>
  <si>
    <t>㈱米伸 集計</t>
  </si>
  <si>
    <t>㈱美ショウ</t>
  </si>
  <si>
    <t>㈱美ショウ 集計</t>
  </si>
  <si>
    <t>㈱美好工業</t>
  </si>
  <si>
    <t>㈱美好工業 集計</t>
  </si>
  <si>
    <t>㈱美建</t>
  </si>
  <si>
    <t>㈱美建 集計</t>
  </si>
  <si>
    <t>㈱肱陵建設</t>
  </si>
  <si>
    <t>㈱肱陵建設 集計</t>
  </si>
  <si>
    <t>㈱荻野屋</t>
  </si>
  <si>
    <t>㈱荻野屋 集計</t>
  </si>
  <si>
    <t>㈱薩摩</t>
  </si>
  <si>
    <t>㈱薩摩 集計</t>
  </si>
  <si>
    <t>㈱藤</t>
  </si>
  <si>
    <t>㈱藤 集計</t>
  </si>
  <si>
    <t>㈱西武技研</t>
  </si>
  <si>
    <t>㈱西武技研 集計</t>
  </si>
  <si>
    <t>㈱近江工業所</t>
  </si>
  <si>
    <t>㈱近江工業所 集計</t>
  </si>
  <si>
    <t>㈱鈴木工業</t>
  </si>
  <si>
    <t>㈱鈴木工業 集計</t>
  </si>
  <si>
    <t>㈱長井技研</t>
  </si>
  <si>
    <t>㈱長井技研 集計</t>
  </si>
  <si>
    <t>㈱関東ダイエットエッグ 会津若松工場</t>
  </si>
  <si>
    <t>㈱関東ダイエットエッグ 会津若松工場 集計</t>
  </si>
  <si>
    <t>㈱関西ダイエットクック</t>
  </si>
  <si>
    <t>㈱関西ダイエットクック 集計</t>
  </si>
  <si>
    <t>㈱青山</t>
  </si>
  <si>
    <t>㈱青山 集計</t>
  </si>
  <si>
    <t>㈱龍舞</t>
  </si>
  <si>
    <t>㈱龍舞 集計</t>
  </si>
  <si>
    <t>湖北総合開発㈱</t>
  </si>
  <si>
    <t>湖北総合開発㈱ 集計</t>
  </si>
  <si>
    <t>滋賀総合建設㈱</t>
  </si>
  <si>
    <t>滋賀総合建設㈱ 集計</t>
  </si>
  <si>
    <t>琉建設㈱</t>
  </si>
  <si>
    <t>琉建設㈱ 集計</t>
  </si>
  <si>
    <t>(福)ユーカリ優都会</t>
  </si>
  <si>
    <t>(福)ユーカリ優都会 集計</t>
  </si>
  <si>
    <t>(福)平心会 小平健成苑</t>
  </si>
  <si>
    <t>(福)平心会 小平健成苑 集計</t>
  </si>
  <si>
    <t>(福)熊本菊寿会</t>
  </si>
  <si>
    <t>(福)熊本菊寿会 集計</t>
  </si>
  <si>
    <t>(福)高岡南福祉会</t>
  </si>
  <si>
    <t>(福)高岡南福祉会 集計</t>
  </si>
  <si>
    <t>竜進建設㈱</t>
  </si>
  <si>
    <t>竜進建設㈱ 集計</t>
  </si>
  <si>
    <t>虎コーポレーション㈱</t>
  </si>
  <si>
    <t>虎コーポレーション㈱ 集計</t>
  </si>
  <si>
    <t>角田鉄工㈱</t>
  </si>
  <si>
    <t>角田鉄工㈱ 集計</t>
  </si>
  <si>
    <t>谷鐵鋼業㈱</t>
  </si>
  <si>
    <t>谷鐵鋼業㈱ 集計</t>
  </si>
  <si>
    <t>邦栄建設㈱</t>
  </si>
  <si>
    <t>邦栄建設㈱ 集計</t>
  </si>
  <si>
    <t>鈴木鋳造㈱</t>
  </si>
  <si>
    <t>鈴木鋳造㈱ 集計</t>
  </si>
  <si>
    <t>関東総建㈱</t>
  </si>
  <si>
    <t>関東総建㈱ 集計</t>
  </si>
  <si>
    <t>高栄自動車工業㈱</t>
  </si>
  <si>
    <t>高栄自動車工業㈱ 集計</t>
  </si>
  <si>
    <t>総計</t>
  </si>
  <si>
    <t>1期実習生 支援監理費（02/27～03/26）</t>
  </si>
  <si>
    <t>2期実習生 支援監理費（03/18～04/17）</t>
  </si>
  <si>
    <t>1期実習生 送り出し機関支援管理費（02/27～03/26）</t>
  </si>
  <si>
    <t>2期実習生 送り出し機関支援管理費（03/18～04/17）</t>
  </si>
  <si>
    <t>1期実習生 支援監理費（02/26～03/25）</t>
  </si>
  <si>
    <t>2期実習生 支援監理費（03/09～04/08）</t>
  </si>
  <si>
    <t>3期実習生 支援監理費（03/21～04/20）</t>
  </si>
  <si>
    <t>4期実習生 支援監理費（03/14～04/13）</t>
  </si>
  <si>
    <t>1期実習生 送り出し機関支援管理費（02/26～03/25）</t>
  </si>
  <si>
    <t>2期実習生 送り出し機関支援管理費（03/09～04/08）</t>
  </si>
  <si>
    <t>3期実習生 送り出し機関支援管理費（03/21～04/20）</t>
  </si>
  <si>
    <t>4期実習生 送り出し機関支援管理費（03/14～04/13）</t>
  </si>
  <si>
    <t>1期実習生 支援監理費（03/16～04/15）</t>
  </si>
  <si>
    <t>1期実習生 送り出し機関支援管理費（03/16～04/15）</t>
  </si>
  <si>
    <t>1期実習生 支援監理費（03/11～04/10）</t>
  </si>
  <si>
    <t>2期実習生 支援監理費（03/20～04/19）</t>
  </si>
  <si>
    <t>1期実習生 送り出し機関支援管理費（03/11～04/10）</t>
  </si>
  <si>
    <t>2期実習生 送り出し機関支援管理費（03/20～04/19）</t>
  </si>
  <si>
    <t>10期実習生 支援監理費（02/16～03/15）</t>
  </si>
  <si>
    <t>10期実習生 送り出し機関支援管理費（02/16～03/15）</t>
  </si>
  <si>
    <t>4期 特定技能外国人支援手数料（03/09～04/08）</t>
  </si>
  <si>
    <t>4期 特定技能外国人送出機関支援協力費（03/09～04/08）</t>
  </si>
  <si>
    <t>特定技能外国人支援手数料</t>
  </si>
  <si>
    <t>2期 特定技能外国人支援手数料（03/01～03/28）</t>
  </si>
  <si>
    <t>3期 特定技能外国人支援手数料（03/04～04/03）</t>
  </si>
  <si>
    <t>特定技能外国人送出機関支援協力費</t>
  </si>
  <si>
    <t>2期 特定技能外国人送出機関支援協力費（03/01～03/28）</t>
  </si>
  <si>
    <t>3期 特定技能外国人送出機関支援協力費（03/04～04/03）</t>
  </si>
  <si>
    <t>3期実習生 支援監理費（03/01～03/28）</t>
  </si>
  <si>
    <t>3期実習生 送り出し機関支援管理費（03/01～03/28）</t>
  </si>
  <si>
    <t>1期実習生 支援監理費（03/06～04/05）</t>
  </si>
  <si>
    <t>2期実習生 支援監理費（03/06～04/05）</t>
  </si>
  <si>
    <t>1期実習生 送り出し機関支援管理費（03/06～04/05）</t>
  </si>
  <si>
    <t>2期実習生 送り出し機関支援管理費（03/06～04/05）</t>
  </si>
  <si>
    <t>9期 特定技能外国人支援手数料（03/08～04/07）</t>
  </si>
  <si>
    <t>9期 特定技能外国人送出機関支援協力費（03/08～04/07）</t>
  </si>
  <si>
    <t>1期実習生 支援監理費（03/09～04/08）</t>
  </si>
  <si>
    <t>2期実習生 支援監理費（03/01～03/28）</t>
  </si>
  <si>
    <t>1期実習生 送り出し機関支援管理費（03/09～04/08）</t>
  </si>
  <si>
    <t>2期実習生 送り出し機関支援管理費（03/01～03/28）</t>
  </si>
  <si>
    <t>1期 特定技能外国人支援手数料（03/02～04/01）</t>
  </si>
  <si>
    <t>1期 特定技能外国人送出機関支援協力費（03/02～04/01）</t>
  </si>
  <si>
    <t>7期 特定技能外国人支援手数料（02/27～03/26）</t>
  </si>
  <si>
    <t>8期 特定技能外国人支援手数料（03/19～04/18）</t>
  </si>
  <si>
    <t>9期 特定技能外国人支援手数料（03/17～04/16）</t>
  </si>
  <si>
    <t>7期 特定技能外国人送出機関支援協力費（02/27～03/26）</t>
  </si>
  <si>
    <t>8期 特定技能外国人送出機関支援協力費（03/19～04/18）</t>
  </si>
  <si>
    <t>9期 特定技能外国人送出機関支援協力費（03/17～04/16）</t>
  </si>
  <si>
    <t>1期実習生 支援監理費（03/07～04/06）</t>
  </si>
  <si>
    <t>1期実習生 送り出し機関支援管理費（03/07～04/06）</t>
  </si>
  <si>
    <t>1期実習生 支援監理費（03/20～04/19）</t>
  </si>
  <si>
    <t>1期実習生 送り出し機関支援管理費（03/20～04/19）</t>
  </si>
  <si>
    <t>1期実習生 支援監理費（03/02～04/01）</t>
  </si>
  <si>
    <t>1期実習生 送り出し機関支援管理費（03/02～04/01）</t>
  </si>
  <si>
    <t>2期実習生 支援監理費（03/15～04/14）</t>
  </si>
  <si>
    <t>3期実習生 支援監理費（03/02～04/01）</t>
  </si>
  <si>
    <t>4期実習生 支援監理費（03/05～04/04）</t>
  </si>
  <si>
    <t>5期実習生 支援監理費（03/01～03/28）</t>
  </si>
  <si>
    <t>6期実習生 支援監理費（03/01～03/28）</t>
  </si>
  <si>
    <t>2期実習生 送り出し機関支援管理費（03/15～04/14）</t>
  </si>
  <si>
    <t>3期実習生 送り出し機関支援管理費（03/02～04/01）</t>
  </si>
  <si>
    <t>4期実習生 送り出し機関支援管理費（03/05～04/04）</t>
  </si>
  <si>
    <t>5期実習生 送り出し機関支援管理費（03/01～03/28）</t>
  </si>
  <si>
    <t>6期実習生 送り出し機関支援管理費（03/01～03/28）</t>
  </si>
  <si>
    <t>2期実習生 支援監理費（03/16～04/15）</t>
  </si>
  <si>
    <t>2期実習生 送り出し機関支援管理費（03/16～04/15）</t>
  </si>
  <si>
    <t>3期 特定技能外国人支援手数料（02/10～03/09）</t>
  </si>
  <si>
    <t>3期 特定技能外国人送出機関支援協力費（02/10～03/09）</t>
  </si>
  <si>
    <t>4期 特定技能外国人支援手数料（03/01～03/28）</t>
  </si>
  <si>
    <t>4期 特定技能外国人送出機関支援協力費（03/01～03/28）</t>
  </si>
  <si>
    <t>1期実習生 支援監理費（03/01～03/28）</t>
  </si>
  <si>
    <t>2期実習生 支援監理費（03/07～04/06）</t>
  </si>
  <si>
    <t>1期実習生 送り出し機関支援管理費（03/01～03/28）</t>
  </si>
  <si>
    <t>2期実習生 送り出し機関支援管理費（03/07～04/06）</t>
  </si>
  <si>
    <t>5期 特定技能外国人支援手数料（02/24～03/23）</t>
  </si>
  <si>
    <t>6期 特定技能外国人支援手数料（03/02～04/01）</t>
  </si>
  <si>
    <t>5期 特定技能外国人送出機関支援協力費（02/24～03/23）</t>
  </si>
  <si>
    <t>6期 特定技能外国人送出機関支援協力費（03/02～04/01）</t>
  </si>
  <si>
    <t>1期実習生 支援監理費（03/15～04/14）</t>
  </si>
  <si>
    <t>4期 特定技能外国人支援手数料（03/19～04/18）</t>
  </si>
  <si>
    <t>5期 特定技能外国人支援手数料（02/16～03/15）</t>
  </si>
  <si>
    <t>1期実習生 送り出し機関支援管理費（03/15～04/14）</t>
  </si>
  <si>
    <t>4期 特定技能外国人送出機関支援協力費（03/19～04/18）</t>
  </si>
  <si>
    <t>5期 特定技能外国人送出機関支援協力費（02/16～03/15）</t>
  </si>
  <si>
    <t>1期 特定技能外国人支援手数料（03/01～03/28）</t>
  </si>
  <si>
    <t>1期 特定技能外国人送出機関支援協力費（03/01～03/28）</t>
  </si>
  <si>
    <t>6期 特定技能外国人支援手数料（03/03～04/02）</t>
  </si>
  <si>
    <t>6期 特定技能外国人送出機関支援協力費（03/03～04/02）</t>
  </si>
  <si>
    <t>2期 特定技能外国人支援手数料（02/25～03/24）</t>
  </si>
  <si>
    <t>2期 特定技能外国人送出機関支援協力費（02/25～03/24）</t>
  </si>
  <si>
    <t>1期実習生 支援監理費（02/28～03/27）</t>
  </si>
  <si>
    <t>2期実習生 支援監理費（03/05～04/04）</t>
  </si>
  <si>
    <t>3期実習生 支援監理費（02/26～03/25）</t>
  </si>
  <si>
    <t>4期実習生 支援監理費（03/03～04/02）</t>
  </si>
  <si>
    <t>5期実習生 支援監理費（03/11～04/10）</t>
  </si>
  <si>
    <t>6期実習生 支援監理費（03/17～04/16）</t>
  </si>
  <si>
    <t>7期 特定技能外国人支援手数料（03/16～04/15）</t>
  </si>
  <si>
    <t>8期 特定技能外国人支援手数料（03/01～03/28）</t>
  </si>
  <si>
    <t>9期 特定技能外国人支援手数料（02/26～03/25）</t>
  </si>
  <si>
    <t>10期 特定技能外国人支援手数料（03/08～04/07）</t>
  </si>
  <si>
    <t>10期 特定技能外国人支援手数料（03/02～04/01）</t>
  </si>
  <si>
    <t>1期実習生 送り出し機関支援管理費（02/28～03/27）</t>
  </si>
  <si>
    <t>2期実習生 送り出し機関支援管理費（03/05～04/04）</t>
  </si>
  <si>
    <t>3期実習生 送り出し機関支援管理費（02/26～03/25）</t>
  </si>
  <si>
    <t>4期実習生 送り出し機関支援管理費（03/03～04/02）</t>
  </si>
  <si>
    <t>5期実習生 送り出し機関支援管理費（03/11～04/10）</t>
  </si>
  <si>
    <t>6期実習生 送り出し機関支援管理費（03/17～04/16）</t>
  </si>
  <si>
    <t>7期 特定技能外国人送出機関支援協力費（03/16～04/15）</t>
  </si>
  <si>
    <t>8期 特定技能外国人送出機関支援協力費（03/01～03/28）</t>
  </si>
  <si>
    <t>9期 特定技能外国人送出機関支援協力費（02/26～03/25）</t>
  </si>
  <si>
    <t>10期 特定技能外国人送出機関支援協力費（03/08～04/07）</t>
  </si>
  <si>
    <t>10期 特定技能外国人送出機関支援協力費（03/02～04/01）</t>
  </si>
  <si>
    <t>3期実習生 支援監理費（03/03～04/02）</t>
  </si>
  <si>
    <t>4期実習生 支援監理費（02/22～03/21）</t>
  </si>
  <si>
    <t>5期実習生 支援監理費（02/22～03/21）</t>
  </si>
  <si>
    <t>7期 特定技能外国人支援手数料（03/11～04/10）</t>
  </si>
  <si>
    <t>8期 特定技能外国人支援手数料（03/05～04/04）</t>
  </si>
  <si>
    <t>9期 特定技能外国人支援手数料（03/09～04/08）</t>
  </si>
  <si>
    <t>10期 特定技能外国人支援手数料（03/11～04/10）</t>
  </si>
  <si>
    <t>10期 特定技能外国人支援手数料（02/25～03/24）</t>
  </si>
  <si>
    <t>10期 特定技能外国人支援手数料（02/28～03/27）</t>
  </si>
  <si>
    <t>10期 特定技能外国人支援手数料（02/27～03/26）</t>
  </si>
  <si>
    <t>3期実習生 送り出し機関支援管理費（03/03～04/02）</t>
  </si>
  <si>
    <t>4期実習生 送り出し機関支援管理費（02/22～03/21）</t>
  </si>
  <si>
    <t>5期実習生 送り出し機関支援管理費（02/22～03/21）</t>
  </si>
  <si>
    <t>7期 特定技能外国人送出機関支援協力費（03/11～04/10）</t>
  </si>
  <si>
    <t>8期 特定技能外国人送出機関支援協力費（03/05～04/04）</t>
  </si>
  <si>
    <t>9期 特定技能外国人送出機関支援協力費（03/09～04/08）</t>
  </si>
  <si>
    <t>10期 特定技能外国人送出機関支援協力費（03/11～04/10）</t>
  </si>
  <si>
    <t>10期 特定技能外国人送出機関支援協力費（02/25～03/24）</t>
  </si>
  <si>
    <t>10期 特定技能外国人送出機関支援協力費（02/28～03/27）</t>
  </si>
  <si>
    <t>10期 特定技能外国人送出機関支援協力費（02/27～03/26）</t>
  </si>
  <si>
    <t>10期 特定技能外国人支援手数料（03/09～04/08）</t>
  </si>
  <si>
    <t>10期 特定技能外国人支援手数料（03/01～03/28）</t>
  </si>
  <si>
    <t>10期 特定技能外国人支援手数料（03/18～04/17）</t>
  </si>
  <si>
    <t>10期 特定技能外国人支援手数料（02/24～03/23）</t>
  </si>
  <si>
    <t>11期 特定技能外国人支援手数料（02/28～03/27）</t>
  </si>
  <si>
    <t>10期 特定技能外国人送出機関支援協力費（03/09～04/08）</t>
  </si>
  <si>
    <t>10期 特定技能外国人送出機関支援協力費（03/01～03/28）</t>
  </si>
  <si>
    <t>10期 特定技能外国人送出機関支援協力費（03/18～04/17）</t>
  </si>
  <si>
    <t>10期 特定技能外国人送出機関支援協力費（02/24～03/23）</t>
  </si>
  <si>
    <t>11期 特定技能外国人送出機関支援協力費（02/28～03/27）</t>
  </si>
  <si>
    <t>1期実習生 支援監理費（03/19～04/18）</t>
  </si>
  <si>
    <t>3期 特定技能外国人支援手数料（02/22～03/21）</t>
  </si>
  <si>
    <t>5期 特定技能外国人支援手数料（03/14～04/13）</t>
  </si>
  <si>
    <t>7期 特定技能外国人支援手数料（03/01～03/28）</t>
  </si>
  <si>
    <t>1期実習生 送り出し機関支援管理費（03/19～04/18）</t>
  </si>
  <si>
    <t>3期 特定技能外国人送出機関支援協力費（02/22～03/21）</t>
  </si>
  <si>
    <t>5期 特定技能外国人送出機関支援協力費（03/14～04/13）</t>
  </si>
  <si>
    <t>7期 特定技能外国人送出機関支援協力費（03/01～03/28）</t>
  </si>
  <si>
    <t>4期 特定技能外国人支援手数料（02/02～03/01）</t>
  </si>
  <si>
    <t>4期 特定技能外国人送出機関支援協力費（02/02～03/01）</t>
  </si>
  <si>
    <t>3期実習生 支援監理費（03/08～04/07）</t>
  </si>
  <si>
    <t>4期実習生 支援監理費（03/01～03/28）</t>
  </si>
  <si>
    <t>5期 特定技能外国人支援手数料（03/02～04/01）</t>
  </si>
  <si>
    <t>6期 特定技能外国人支援手数料（03/21～04/20）</t>
  </si>
  <si>
    <t>3期実習生 送り出し機関支援管理費（03/08～04/07）</t>
  </si>
  <si>
    <t>4期実習生 送り出し機関支援管理費（03/01～03/28）</t>
  </si>
  <si>
    <t>5期 特定技能外国人送出機関支援協力費（03/02～04/01）</t>
  </si>
  <si>
    <t>6期 特定技能外国人送出機関支援協力費（03/21～04/20）</t>
  </si>
  <si>
    <t>4期 特定技能外国人支援手数料（03/17～04/16）</t>
  </si>
  <si>
    <t>5期 特定技能外国人支援手数料（03/01～03/28）</t>
  </si>
  <si>
    <t>6期 特定技能外国人支援手数料（03/16～04/15）</t>
  </si>
  <si>
    <t>4期 特定技能外国人送出機関支援協力費（03/17～04/16）</t>
  </si>
  <si>
    <t>5期 特定技能外国人送出機関支援協力費（03/01～03/28）</t>
  </si>
  <si>
    <t>6期 特定技能外国人送出機関支援協力費（03/16～04/15）</t>
  </si>
  <si>
    <t>4期実習生 支援監理費（03/10～04/09）</t>
  </si>
  <si>
    <t>4期実習生 送り出し機関支援管理費（03/10～04/09）</t>
  </si>
  <si>
    <t>7期 特定技能外国人支援手数料（03/08～04/07）</t>
  </si>
  <si>
    <t>8期 特定技能外国人支援手数料（03/17～04/16）</t>
  </si>
  <si>
    <t>7期 特定技能外国人送出機関支援協力費（03/08～04/07）</t>
  </si>
  <si>
    <t>8期 特定技能外国人送出機関支援協力費（03/17～04/16）</t>
  </si>
  <si>
    <t>3期 特定技能外国人支援手数料（03/19～04/18）</t>
  </si>
  <si>
    <t>3期 特定技能外国人送出機関支援協力費（03/19～04/18）</t>
  </si>
  <si>
    <t>1期実習生 支援監理費（03/05～04/04）</t>
  </si>
  <si>
    <t>2期実習生 支援監理費（03/03～04/02）</t>
  </si>
  <si>
    <t>6期 特定技能外国人支援手数料（03/12～04/11）</t>
  </si>
  <si>
    <t>7期 特定技能外国人支援手数料（03/12～04/11）</t>
  </si>
  <si>
    <t>9期 特定技能外国人支援手数料（03/07～04/06）</t>
  </si>
  <si>
    <t>10期 特定技能外国人支援手数料（03/03～04/02）</t>
  </si>
  <si>
    <t>1期実習生 送り出し機関支援管理費（03/05～04/04）</t>
  </si>
  <si>
    <t>2期実習生 送り出し機関支援管理費（03/03～04/02）</t>
  </si>
  <si>
    <t>6期 特定技能外国人送出機関支援協力費（03/12～04/11）</t>
  </si>
  <si>
    <t>7期 特定技能外国人送出機関支援協力費（03/12～04/11）</t>
  </si>
  <si>
    <t>9期 特定技能外国人送出機関支援協力費（03/07～04/06）</t>
  </si>
  <si>
    <t>10期 特定技能外国人送出機関支援協力費（03/03～04/02）</t>
  </si>
  <si>
    <t>1期 特定技能外国人支援手数料（03/06～04/05）</t>
  </si>
  <si>
    <t>1期 特定技能外国人送出機関支援協力費（03/06～04/05）</t>
  </si>
  <si>
    <t>4期 特定技能外国人支援手数料（02/26～03/25）</t>
  </si>
  <si>
    <t>4期 特定技能外国人送出機関支援協力費（02/26～03/25）</t>
  </si>
  <si>
    <t>1期実習生 支援監理費（03/03～04/02）</t>
  </si>
  <si>
    <t>3期実習生 支援監理費（03/11～04/10）</t>
  </si>
  <si>
    <t>4期 特定技能外国人支援手数料（03/21～04/20）</t>
  </si>
  <si>
    <t>1期実習生 送り出し機関支援管理費（03/03～04/02）</t>
  </si>
  <si>
    <t>3期実習生 送り出し機関支援管理費（03/11～04/10）</t>
  </si>
  <si>
    <t>4期 特定技能外国人送出機関支援協力費（03/21～04/20）</t>
  </si>
  <si>
    <t>6期実習生 支援監理費（02/03～03/02）</t>
  </si>
  <si>
    <t>5期実習生 支援監理費（03/21～04/20）</t>
  </si>
  <si>
    <t>6期実習生 送り出し機関支援管理費（02/03～03/02）</t>
  </si>
  <si>
    <t>5期実習生 送り出し機関支援管理費（03/21～04/20）</t>
  </si>
  <si>
    <t>1期実習生 支援監理費（02/22～03/21）</t>
  </si>
  <si>
    <t>1期実習生 送り出し機関支援管理費（02/22～03/21）</t>
  </si>
  <si>
    <t>2期 特定技能外国人支援手数料（03/17～04/16）</t>
  </si>
  <si>
    <t>3期 特定技能外国人支援手数料（03/16～04/15）</t>
  </si>
  <si>
    <t>2期 特定技能外国人送出機関支援協力費（03/17～04/16）</t>
  </si>
  <si>
    <t>3期 特定技能外国人送出機関支援協力費（03/16～04/15）</t>
  </si>
  <si>
    <t>5期実習生 支援監理費（03/07～04/06）</t>
  </si>
  <si>
    <t>6期実習生 支援監理費（03/03～04/02）</t>
  </si>
  <si>
    <t>7期実習生 支援監理費（03/07～04/06）</t>
  </si>
  <si>
    <t>8期実習生 支援監理費（03/11～04/10）</t>
  </si>
  <si>
    <t>9期実習生 支援監理費（03/16～04/15）</t>
  </si>
  <si>
    <t>10期 特定技能外国人支援手数料（03/15～04/14）</t>
  </si>
  <si>
    <t>11期 特定技能外国人支援手数料（03/08～04/07）</t>
  </si>
  <si>
    <t>12期 特定技能外国人支援手数料（02/24～03/23）</t>
  </si>
  <si>
    <t>13期 特定技能外国人支援手数料（03/21～04/20）</t>
  </si>
  <si>
    <t>5期実習生 送り出し機関支援管理費（03/07～04/06）</t>
  </si>
  <si>
    <t>6期実習生 送り出し機関支援管理費（03/03～04/02）</t>
  </si>
  <si>
    <t>7期実習生 送り出し機関支援管理費（03/07～04/06）</t>
  </si>
  <si>
    <t>8期実習生 送り出し機関支援管理費（03/11～04/10）</t>
  </si>
  <si>
    <t>9期実習生 送り出し機関支援管理費（03/16～04/15）</t>
  </si>
  <si>
    <t>10期 特定技能外国人送出機関支援協力費（03/15～04/14）</t>
  </si>
  <si>
    <t>11期 特定技能外国人送出機関支援協力費（03/08～04/07）</t>
  </si>
  <si>
    <t>12期 特定技能外国人送出機関支援協力費（02/24～03/23）</t>
  </si>
  <si>
    <t>13期 特定技能外国人送出機関支援協力費（03/21～04/20）</t>
  </si>
  <si>
    <t>4期 特定技能外国人支援手数料（03/16～04/15）</t>
  </si>
  <si>
    <t>4期 特定技能外国人送出機関支援協力費（03/16～04/15）</t>
  </si>
  <si>
    <t>7期 特定技能外国人支援手数料（02/22～03/21）</t>
  </si>
  <si>
    <t>8期 特定技能外国人支援手数料（02/27～03/26）</t>
  </si>
  <si>
    <t>9期 特定技能外国人支援手数料（03/15～04/14）</t>
  </si>
  <si>
    <t>7期 特定技能外国人送出機関支援協力費（02/22～03/21）</t>
  </si>
  <si>
    <t>8期 特定技能外国人送出機関支援協力費（02/27～03/26）</t>
  </si>
  <si>
    <t>9期 特定技能外国人送出機関支援協力費（03/15～04/14）</t>
  </si>
  <si>
    <t>6期 特定技能外国人支援手数料（03/07～04/06）</t>
  </si>
  <si>
    <t>6期 特定技能外国人送出機関支援協力費（03/07～04/06）</t>
  </si>
  <si>
    <t>2期実習生 支援監理費（02/23～03/22）</t>
  </si>
  <si>
    <t>3期実習生 支援監理費（02/23～03/22）</t>
  </si>
  <si>
    <t>2期実習生 送り出し機関支援管理費（02/23～03/22）</t>
  </si>
  <si>
    <t>3期実習生 送り出し機関支援管理費（02/23～03/22）</t>
  </si>
  <si>
    <t>3期実習生 支援監理費（03/05～04/04）</t>
  </si>
  <si>
    <t>4期 特定技能外国人支援手数料（03/11～04/10）</t>
  </si>
  <si>
    <t>3期実習生 送り出し機関支援管理費（03/05～04/04）</t>
  </si>
  <si>
    <t>4期 特定技能外国人送出機関支援協力費（03/11～04/10）</t>
  </si>
  <si>
    <t>5期 特定技能外国人支援手数料（03/09～04/08）</t>
  </si>
  <si>
    <t>5期 特定技能外国人送出機関支援協力費（03/09～04/08）</t>
  </si>
  <si>
    <t>5期 特定技能外国人支援手数料（03/13～04/12）</t>
  </si>
  <si>
    <t>5期 特定技能外国人送出機関支援協力費（03/13～04/12）</t>
  </si>
  <si>
    <t>4期実習生 支援監理費（03/19～04/18）</t>
  </si>
  <si>
    <t>5期実習生 支援監理費（03/13～04/12）</t>
  </si>
  <si>
    <t>4期実習生 送り出し機関支援管理費（03/19～04/18）</t>
  </si>
  <si>
    <t>5期実習生 送り出し機関支援管理費（03/13～04/12）</t>
  </si>
  <si>
    <t>1期実習生 支援監理費（03/21～04/20）</t>
  </si>
  <si>
    <t>2期実習生 支援監理費（03/21～04/20）</t>
  </si>
  <si>
    <t>1期実習生 送り出し機関支援管理費（03/21～04/20）</t>
  </si>
  <si>
    <t>2期実習生 送り出し機関支援管理費（03/21～04/20）</t>
  </si>
  <si>
    <t>3期実習生 支援監理費（03/15～04/14）</t>
  </si>
  <si>
    <t>3期実習生 送り出し機関支援管理費（03/15～04/14）</t>
  </si>
  <si>
    <t>1期 特定技能外国人支援手数料（03/08～04/07）</t>
  </si>
  <si>
    <t>1期 特定技能外国人送出機関支援協力費（03/08～04/07）</t>
  </si>
  <si>
    <t>10期実習生 支援監理費（03/02～04/01）</t>
  </si>
  <si>
    <t>10期実習生 支援監理費（03/01～03/28）</t>
  </si>
  <si>
    <t>10期実習生 送り出し機関支援管理費（03/02～04/01）</t>
  </si>
  <si>
    <t>10期実習生 送り出し機関支援管理費（03/01～03/28）</t>
  </si>
  <si>
    <t>4期実習生 支援監理費（02/25～03/24）</t>
  </si>
  <si>
    <t>5期実習生 支援監理費（02/26～03/25）</t>
  </si>
  <si>
    <t>6期実習生 支援監理費（02/16～03/15）</t>
  </si>
  <si>
    <t>4期実習生 送り出し機関支援管理費（02/25～03/24）</t>
  </si>
  <si>
    <t>5期実習生 送り出し機関支援管理費（02/26～03/25）</t>
  </si>
  <si>
    <t>6期実習生 送り出し機関支援管理費（02/16～03/15）</t>
  </si>
  <si>
    <t>10期実習生 支援監理費（03/21～04/20）</t>
  </si>
  <si>
    <t>10期 特定技能外国人支援手数料（02/15～03/14）</t>
  </si>
  <si>
    <t>10期実習生 送り出し機関支援管理費（03/21～04/20）</t>
  </si>
  <si>
    <t>10期 特定技能外国人送出機関支援協力費（02/15～03/14）</t>
  </si>
  <si>
    <t>2期実習生 支援監理費（02/22～03/21）</t>
  </si>
  <si>
    <t>2期実習生 送り出し機関支援管理費（02/22～03/21）</t>
  </si>
  <si>
    <t>1期実習生 支援監理費（03/10～04/09）</t>
  </si>
  <si>
    <t>6期 特定技能外国人支援手数料（03/09～04/08）</t>
  </si>
  <si>
    <t>7期 特定技能外国人支援手数料（03/19～04/18）</t>
  </si>
  <si>
    <t>8期 特定技能外国人支援手数料（03/20～04/19）</t>
  </si>
  <si>
    <t>9期 特定技能外国人支援手数料（03/06～04/05）</t>
  </si>
  <si>
    <t>10期 特定技能外国人支援手数料（02/22～03/21）</t>
  </si>
  <si>
    <t>10期 特定技能外国人支援手数料（03/10～04/09）</t>
  </si>
  <si>
    <t>1期実習生 送り出し機関支援管理費（03/10～04/09）</t>
  </si>
  <si>
    <t>6期 特定技能外国人送出機関支援協力費（03/09～04/08）</t>
  </si>
  <si>
    <t>7期 特定技能外国人送出機関支援協力費（03/19～04/18）</t>
  </si>
  <si>
    <t>8期 特定技能外国人送出機関支援協力費（03/20～04/19）</t>
  </si>
  <si>
    <t>9期 特定技能外国人送出機関支援協力費（03/06～04/05）</t>
  </si>
  <si>
    <t>10期 特定技能外国人送出機関支援協力費（02/22～03/21）</t>
  </si>
  <si>
    <t>10期 特定技能外国人送出機関支援協力費（03/10～04/09）</t>
  </si>
  <si>
    <t>1期実習生 支援監理費（02/23～03/22）</t>
  </si>
  <si>
    <t>1期実習生 送り出し機関支援管理費（02/23～03/22）</t>
  </si>
  <si>
    <t>1期実習生 支援監理費（03/18～04/17）</t>
  </si>
  <si>
    <t>1期実習生 送り出し機関支援管理費（03/18～04/17）</t>
  </si>
  <si>
    <t>1期 特定技能外国人支援手数料（03/16～04/15）</t>
  </si>
  <si>
    <t>3期 特定技能外国人支援手数料（03/20～04/19）</t>
  </si>
  <si>
    <t>1期 特定技能外国人送出機関支援協力費（03/16～04/15）</t>
  </si>
  <si>
    <t>3期 特定技能外国人送出機関支援協力費（03/20～04/19）</t>
  </si>
  <si>
    <t>1期 特定技能外国人支援手数料（03/21～04/20）</t>
  </si>
  <si>
    <t>1期 特定技能外国人送出機関支援協力費（03/21～04/20）</t>
  </si>
  <si>
    <t>1期 特定技能外国人支援手数料（03/11～04/10）</t>
  </si>
  <si>
    <t>1期 特定技能外国人送出機関支援協力費（03/11～04/10）</t>
  </si>
  <si>
    <t>10期 特定技能外国人支援手数料（02/26～03/25）</t>
  </si>
  <si>
    <t>10期 特定技能外国人支援手数料（03/20～04/19）</t>
  </si>
  <si>
    <t>10期 特定技能外国人支援手数料（03/19～04/18）</t>
  </si>
  <si>
    <t>10期 特定技能外国人支援手数料（03/16～04/15）</t>
  </si>
  <si>
    <t>10期 特定技能外国人支援手数料（03/05～04/04）</t>
  </si>
  <si>
    <t>10期 特定技能外国人支援手数料（03/17～04/16）</t>
  </si>
  <si>
    <t>10期 特定技能外国人支援手数料（03/21～04/20）</t>
  </si>
  <si>
    <t>10期 特定技能外国人支援手数料（02/09～03/08）</t>
  </si>
  <si>
    <t>10期 特定技能外国人送出機関支援協力費（02/26～03/25）</t>
  </si>
  <si>
    <t>10期 特定技能外国人送出機関支援協力費（03/20～04/19）</t>
  </si>
  <si>
    <t>10期 特定技能外国人送出機関支援協力費（03/19～04/18）</t>
  </si>
  <si>
    <t>10期 特定技能外国人送出機関支援協力費（03/16～04/15）</t>
  </si>
  <si>
    <t>10期 特定技能外国人送出機関支援協力費（03/05～04/04）</t>
  </si>
  <si>
    <t>10期 特定技能外国人送出機関支援協力費（03/17～04/16）</t>
  </si>
  <si>
    <t>10期 特定技能外国人送出機関支援協力費（03/21～04/20）</t>
  </si>
  <si>
    <t>10期 特定技能外国人送出機関支援協力費（02/09～03/08）</t>
  </si>
  <si>
    <t>2期 特定技能外国人支援手数料（03/05～04/04）</t>
  </si>
  <si>
    <t>2期 特定技能外国人送出機関支援協力費（03/05～04/04）</t>
  </si>
  <si>
    <t>8期実習生 支援監理費（02/14～03/13）</t>
  </si>
  <si>
    <t>6期 特定技能外国人支援手数料（02/25～03/24）</t>
  </si>
  <si>
    <t>7期 特定技能外国人支援手数料（02/24～03/23）</t>
  </si>
  <si>
    <t>8期実習生 送り出し機関支援管理費（02/14～03/13）</t>
  </si>
  <si>
    <t>6期 特定技能外国人送出機関支援協力費（02/25～03/24）</t>
  </si>
  <si>
    <t>7期 特定技能外国人送出機関支援協力費（02/24～03/23）</t>
  </si>
  <si>
    <t>4期実習生 支援監理費（02/20～03/19）</t>
  </si>
  <si>
    <t>4期実習生 送り出し機関支援管理費（02/20～03/19）</t>
  </si>
  <si>
    <t>2期 特定技能外国人支援手数料（03/16～04/15）</t>
  </si>
  <si>
    <t>2期 特定技能外国人送出機関支援協力費（03/16～04/15）</t>
  </si>
  <si>
    <t>3期実習生 支援監理費（03/06～04/05）</t>
  </si>
  <si>
    <t>4期実習生 支援監理費（03/17～04/16）</t>
  </si>
  <si>
    <t>5期実習生 支援監理費（03/12～04/11）</t>
  </si>
  <si>
    <t>6期 特定技能外国人支援手数料（02/06～03/05）</t>
  </si>
  <si>
    <t>3期実習生 送り出し機関支援管理費（03/06～04/05）</t>
  </si>
  <si>
    <t>4期実習生 送り出し機関支援管理費（03/17～04/16）</t>
  </si>
  <si>
    <t>5期実習生 送り出し機関支援管理費（03/12～04/11）</t>
  </si>
  <si>
    <t>6期 特定技能外国人送出機関支援協力費（02/06～03/05）</t>
  </si>
  <si>
    <t>2期 特定技能外国人支援手数料（03/19～04/18）</t>
  </si>
  <si>
    <t>2期 特定技能外国人送出機関支援協力費（03/19～04/18）</t>
  </si>
  <si>
    <t>2期 特定技能外国人支援手数料（03/15～04/14）</t>
  </si>
  <si>
    <t>2期 特定技能外国人送出機関支援協力費（03/15～04/14）</t>
  </si>
  <si>
    <t>3期 特定技能外国人支援手数料（03/18～04/17）</t>
  </si>
  <si>
    <t>4期 特定技能外国人支援手数料（02/28～03/27）</t>
  </si>
  <si>
    <t>5期 特定技能外国人支援手数料（03/19～04/18）</t>
  </si>
  <si>
    <t>3期 特定技能外国人送出機関支援協力費（03/18～04/17）</t>
  </si>
  <si>
    <t>4期 特定技能外国人送出機関支援協力費（02/28～03/27）</t>
  </si>
  <si>
    <t>5期 特定技能外国人送出機関支援協力費（03/19～04/18）</t>
  </si>
  <si>
    <t>1期実習生 支援監理費（03/13～04/12）</t>
  </si>
  <si>
    <t>3期実習生 支援監理費（02/22～03/21）</t>
  </si>
  <si>
    <t>5期 特定技能外国人支援手数料（03/11～04/10）</t>
  </si>
  <si>
    <t>1期実習生 送り出し機関支援管理費（03/13～04/12）</t>
  </si>
  <si>
    <t>3期実習生 送り出し機関支援管理費（02/22～03/21）</t>
  </si>
  <si>
    <t>5期 特定技能外国人送出機関支援協力費（03/11～04/10）</t>
  </si>
  <si>
    <t>4期 特定技能外国人支援手数料（03/12～04/11）</t>
  </si>
  <si>
    <t>4期 特定技能外国人送出機関支援協力費（03/12～04/11）</t>
  </si>
  <si>
    <t>6期 特定技能外国人支援手数料（03/14～04/13）</t>
  </si>
  <si>
    <t>8期 特定技能外国人支援手数料（02/28～03/27）</t>
  </si>
  <si>
    <t>6期 特定技能外国人送出機関支援協力費（03/14～04/13）</t>
  </si>
  <si>
    <t>8期 特定技能外国人送出機関支援協力費（02/28～03/27）</t>
  </si>
  <si>
    <t>3期実習生 支援監理費（03/17～04/16）</t>
  </si>
  <si>
    <t>3期実習生 送り出し機関支援管理費（03/17～04/16）</t>
  </si>
  <si>
    <t>4期 特定技能外国人支援手数料（03/07～04/06）</t>
  </si>
  <si>
    <t>5期 特定技能外国人支援手数料（03/10～04/09）</t>
  </si>
  <si>
    <t>6期 特定技能外国人支援手数料（03/11～04/10）</t>
  </si>
  <si>
    <t>4期 特定技能外国人送出機関支援協力費（03/07～04/06）</t>
  </si>
  <si>
    <t>5期 特定技能外国人送出機関支援協力費（03/10～04/09）</t>
  </si>
  <si>
    <t>6期 特定技能外国人送出機関支援協力費（03/11～04/10）</t>
  </si>
  <si>
    <t>2期実習生 支援監理費（03/13～04/12）</t>
  </si>
  <si>
    <t>2期実習生 送り出し機関支援管理費（03/13～04/12）</t>
  </si>
  <si>
    <t>2期実習生 支援監理費（02/28～03/27）</t>
  </si>
  <si>
    <t>3期実習生 支援監理費（03/04～04/03）</t>
  </si>
  <si>
    <t>2期実習生 送り出し機関支援管理費（02/28～03/27）</t>
  </si>
  <si>
    <t>3期実習生 送り出し機関支援管理費（03/04～04/03）</t>
  </si>
  <si>
    <t>1期 特定技能外国人支援手数料（03/04～04/03）</t>
  </si>
  <si>
    <t>1期 特定技能外国人送出機関支援協力費（03/04～04/03）</t>
  </si>
  <si>
    <t>4期実習生 支援監理費（03/07～04/06）</t>
  </si>
  <si>
    <t>5期実習生 支援監理費（03/18～04/17）</t>
  </si>
  <si>
    <t>6期実習生 支援監理費（03/10～04/09）</t>
  </si>
  <si>
    <t>10期実習生 支援監理費（02/07～03/06）</t>
  </si>
  <si>
    <t>7期 特定技能外国人支援手数料（02/25～03/24）</t>
  </si>
  <si>
    <t>10期 特定技能外国人支援手数料（03/13～04/12）</t>
  </si>
  <si>
    <t>10期 特定技能外国人支援手数料（03/06～04/05）</t>
  </si>
  <si>
    <t>4期実習生 送り出し機関支援管理費（03/07～04/06）</t>
  </si>
  <si>
    <t>5期実習生 送り出し機関支援管理費（03/18～04/17）</t>
  </si>
  <si>
    <t>6期実習生 送り出し機関支援管理費（03/10～04/09）</t>
  </si>
  <si>
    <t>10期実習生 送り出し機関支援管理費（02/07～03/06）</t>
  </si>
  <si>
    <t>7期 特定技能外国人送出機関支援協力費（02/25～03/24）</t>
  </si>
  <si>
    <t>10期 特定技能外国人送出機関支援協力費（03/13～04/12）</t>
  </si>
  <si>
    <t>10期 特定技能外国人送出機関支援協力費（03/06～04/05）</t>
  </si>
  <si>
    <t>10期 特定技能外国人支援手数料（02/23～03/22）</t>
  </si>
  <si>
    <t>10期 特定技能外国人支援手数料（02/03～03/02）</t>
  </si>
  <si>
    <t>10期 特定技能外国人送出機関支援協力費（02/23～03/22）</t>
  </si>
  <si>
    <t>10期 特定技能外国人送出機関支援協力費（02/03～03/02）</t>
  </si>
  <si>
    <t>4期実習生 支援監理費（02/28～03/27）</t>
  </si>
  <si>
    <t>4期実習生 送り出し機関支援管理費（02/28～03/27）</t>
  </si>
  <si>
    <t>2期 特定技能外国人支援手数料（02/23～03/22）</t>
  </si>
  <si>
    <t>2期 特定技能外国人送出機関支援協力費（02/23～03/22）</t>
  </si>
  <si>
    <t>4期 特定技能外国人支援手数料（03/13～04/12）</t>
  </si>
  <si>
    <t>5期 特定技能外国人支援手数料（03/20～04/19）</t>
  </si>
  <si>
    <t>4期 特定技能外国人送出機関支援協力費（03/13～04/12）</t>
  </si>
  <si>
    <t>5期 特定技能外国人送出機関支援協力費（03/20～04/19）</t>
  </si>
  <si>
    <t>5期実習生 支援監理費（03/14～04/13）</t>
  </si>
  <si>
    <t>5期実習生 送り出し機関支援管理費（03/14～04/13）</t>
  </si>
  <si>
    <t>2期 特定技能外国人支援手数料（03/09～04/08）</t>
  </si>
  <si>
    <t>2期 特定技能外国人送出機関支援協力費（03/09～04/08）</t>
  </si>
  <si>
    <t>1期実習生 支援監理費（03/12～04/11）</t>
  </si>
  <si>
    <t>1期実習生 送り出し機関支援管理費（03/12～04/11）</t>
  </si>
  <si>
    <t>1期 特定技能外国人支援手数料（03/09～04/08）</t>
  </si>
  <si>
    <t>1期 特定技能外国人送出機関支援協力費（03/09～04/08）</t>
  </si>
  <si>
    <t>1期 特定技能外国人支援手数料（03/18～04/17）</t>
  </si>
  <si>
    <t>1期 特定技能外国人送出機関支援協力費（03/18～04/17）</t>
  </si>
  <si>
    <t>3期 特定技能外国人支援手数料（03/12～04/11）</t>
  </si>
  <si>
    <t>3期 特定技能外国人送出機関支援協力費（03/12～04/11）</t>
  </si>
  <si>
    <t>1期実習生 支援監理費（03/14～04/13）</t>
  </si>
  <si>
    <t>1期実習生 送り出し機関支援管理費（03/14～04/13）</t>
  </si>
  <si>
    <t>5期実習生 支援監理費（02/28～03/27）</t>
  </si>
  <si>
    <t>6期実習生 支援監理費（02/28～03/27）</t>
  </si>
  <si>
    <t>7期実習生 支援監理費（03/19～04/18）</t>
  </si>
  <si>
    <t>8期実習生 支援監理費（03/21～04/20）</t>
  </si>
  <si>
    <t>9期実習生 支援監理費（03/17～04/16）</t>
  </si>
  <si>
    <t>10期実習生 支援監理費（03/15～04/14）</t>
  </si>
  <si>
    <t>11期実習生 支援監理費（03/01～03/28）</t>
  </si>
  <si>
    <t>12期 特定技能外国人支援手数料（03/06～04/05）</t>
  </si>
  <si>
    <t>5期実習生 送り出し機関支援管理費（02/28～03/27）</t>
  </si>
  <si>
    <t>6期実習生 送り出し機関支援管理費（02/28～03/27）</t>
  </si>
  <si>
    <t>7期実習生 送り出し機関支援管理費（03/19～04/18）</t>
  </si>
  <si>
    <t>8期実習生 送り出し機関支援管理費（03/21～04/20）</t>
  </si>
  <si>
    <t>9期実習生 送り出し機関支援管理費（03/17～04/16）</t>
  </si>
  <si>
    <t>10期実習生 送り出し機関支援管理費（03/15～04/14）</t>
  </si>
  <si>
    <t>11期実習生 送り出し機関支援管理費（03/01～03/28）</t>
  </si>
  <si>
    <t>12期 特定技能外国人送出機関支援協力費（03/06～04/05）</t>
  </si>
  <si>
    <t>9期 特定技能外国人支援手数料（03/01～03/28）</t>
  </si>
  <si>
    <t>10期 特定技能外国人支援手数料（03/07～04/06）</t>
  </si>
  <si>
    <t>9期 特定技能外国人送出機関支援協力費（03/01～03/28）</t>
  </si>
  <si>
    <t>10期 特定技能外国人送出機関支援協力費（03/07～04/06）</t>
  </si>
  <si>
    <t>1期 特定技能外国人支援手数料（02/26～03/25）</t>
  </si>
  <si>
    <t>1期 特定技能外国人送出機関支援協力費（02/26～03/25）</t>
  </si>
  <si>
    <t>6期実習生 支援監理費（03/16～04/15）</t>
  </si>
  <si>
    <t>6期実習生 送り出し機関支援管理費（03/16～04/15）</t>
  </si>
  <si>
    <t>1期実習生 支援監理費（03/17～04/16）</t>
  </si>
  <si>
    <t>1期実習生 送り出し機関支援管理費（03/17～04/16）</t>
  </si>
  <si>
    <t>8期 特定技能外国人支援手数料（03/07～04/06）</t>
  </si>
  <si>
    <t>9期 特定技能外国人支援手数料（02/27～03/26）</t>
  </si>
  <si>
    <t>8期 特定技能外国人送出機関支援協力費（03/07～04/06）</t>
  </si>
  <si>
    <t>9期 特定技能外国人送出機関支援協力費（02/27～03/26）</t>
  </si>
  <si>
    <t>2期実習生 支援監理費（03/08～04/07）</t>
  </si>
  <si>
    <t>4期実習生 支援監理費（03/20～04/19）</t>
  </si>
  <si>
    <t>2期実習生 送り出し機関支援管理費（03/08～04/07）</t>
  </si>
  <si>
    <t>4期実習生 送り出し機関支援管理費（03/20～04/19）</t>
  </si>
  <si>
    <t>2期実習生 支援監理費（02/26～03/25）</t>
  </si>
  <si>
    <t>5期実習生 支援監理費（02/25～03/24）</t>
  </si>
  <si>
    <t>6期実習生 支援監理費（03/07～04/06）</t>
  </si>
  <si>
    <t>2期実習生 送り出し機関支援管理費（02/26～03/25）</t>
  </si>
  <si>
    <t>5期実習生 送り出し機関支援管理費（02/25～03/24）</t>
  </si>
  <si>
    <t>6期実習生 送り出し機関支援管理費（03/07～04/06）</t>
  </si>
  <si>
    <t>2期実習生 支援監理費（03/14～04/13）</t>
  </si>
  <si>
    <t>3期実習生 支援監理費（03/10～04/09）</t>
  </si>
  <si>
    <t>4期実習生 支援監理費（03/12～04/11）</t>
  </si>
  <si>
    <t>5期 特定技能外国人支援手数料（03/05～04/04）</t>
  </si>
  <si>
    <t>6期 特定技能外国人支援手数料（03/15～04/14）</t>
  </si>
  <si>
    <t>2期実習生 送り出し機関支援管理費（03/14～04/13）</t>
  </si>
  <si>
    <t>3期実習生 送り出し機関支援管理費（03/10～04/09）</t>
  </si>
  <si>
    <t>4期実習生 送り出し機関支援管理費（03/12～04/11）</t>
  </si>
  <si>
    <t>5期 特定技能外国人送出機関支援協力費（03/05～04/04）</t>
  </si>
  <si>
    <t>6期 特定技能外国人送出機関支援協力費（03/15～04/14）</t>
  </si>
  <si>
    <t>7期 特定技能外国人支援手数料（03/17～04/16）</t>
  </si>
  <si>
    <t>8期 特定技能外国人支援手数料（02/22～03/21）</t>
  </si>
  <si>
    <t>9期 特定技能外国人支援手数料（03/21～04/20）</t>
  </si>
  <si>
    <t>7期 特定技能外国人送出機関支援協力費（03/17～04/16）</t>
  </si>
  <si>
    <t>8期 特定技能外国人送出機関支援協力費（02/22～03/21）</t>
  </si>
  <si>
    <t>9期 特定技能外国人送出機関支援協力費（03/21～04/20）</t>
  </si>
  <si>
    <t>5期実習生 支援監理費（02/06～03/05）</t>
  </si>
  <si>
    <t>7期 特定技能外国人支援手数料（03/15～04/14）</t>
  </si>
  <si>
    <t>5期実習生 送り出し機関支援管理費（02/06～03/05）</t>
  </si>
  <si>
    <t>7期 特定技能外国人送出機関支援協力費（03/15～04/14）</t>
  </si>
  <si>
    <t>2期 特定技能外国人支援手数料（03/11～04/10）</t>
  </si>
  <si>
    <t>3期 特定技能外国人支援手数料（03/09～04/08）</t>
  </si>
  <si>
    <t>2期 特定技能外国人送出機関支援協力費（03/11～04/10）</t>
  </si>
  <si>
    <t>3期 特定技能外国人送出機関支援協力費（03/09～04/08）</t>
  </si>
  <si>
    <t>5期 特定技能外国人支援手数料（03/18～04/17）</t>
  </si>
  <si>
    <t>8期 特定技能外国人支援手数料（03/11～04/10）</t>
  </si>
  <si>
    <t>9期 特定技能外国人支援手数料（03/02～04/01）</t>
  </si>
  <si>
    <t>6期 特定技能外国人支援手数料（02/28～03/27）</t>
  </si>
  <si>
    <t>9期 特定技能外国人支援手数料（02/23～03/22）</t>
  </si>
  <si>
    <t>5期 特定技能外国人送出機関支援協力費（03/18～04/17）</t>
  </si>
  <si>
    <t>8期 特定技能外国人送出機関支援協力費（03/11～04/10）</t>
  </si>
  <si>
    <t>9期 特定技能外国人送出機関支援協力費（03/02～04/01）</t>
  </si>
  <si>
    <t>6期 特定技能外国人送出機関支援協力費（02/28～03/27）</t>
  </si>
  <si>
    <t>9期 特定技能外国人送出機関支援協力費（02/23～03/22）</t>
  </si>
  <si>
    <t>1期 特定技能外国人支援手数料（03/10～04/09）</t>
  </si>
  <si>
    <t>1期 特定技能外国人送出機関支援協力費（03/10～04/09）</t>
  </si>
  <si>
    <t>3期実習生 支援監理費（03/07～04/06）</t>
  </si>
  <si>
    <t>5期実習生 支援監理費（03/04～04/03）</t>
  </si>
  <si>
    <t>3期実習生 送り出し機関支援管理費（03/07～04/06）</t>
  </si>
  <si>
    <t>5期実習生 送り出し機関支援管理費（03/04～04/03）</t>
  </si>
  <si>
    <t>2期 特定技能外国人支援手数料（02/27～03/26）</t>
  </si>
  <si>
    <t>3期 特定技能外国人支援手数料（03/02～04/01）</t>
  </si>
  <si>
    <t>2期 特定技能外国人送出機関支援協力費（02/27～03/26）</t>
  </si>
  <si>
    <t>3期 特定技能外国人送出機関支援協力費（03/02～04/01）</t>
  </si>
  <si>
    <t>4期実習生 支援監理費（02/24～03/23）</t>
  </si>
  <si>
    <t>7期実習生 支援監理費（02/24～03/23）</t>
  </si>
  <si>
    <t>8期実習生 支援監理費（03/01～03/28）</t>
  </si>
  <si>
    <t>10期実習生 支援監理費（03/08～04/07）</t>
  </si>
  <si>
    <t>11期実習生 支援監理費（02/23～03/22）</t>
  </si>
  <si>
    <t>12期実習生 支援監理費（02/22～03/21）</t>
  </si>
  <si>
    <t>13期実習生 支援監理費（03/20～04/19）</t>
  </si>
  <si>
    <t>14期実習生 支援監理費（03/20～04/19）</t>
  </si>
  <si>
    <t>15期実習生 支援監理費（03/20～04/19）</t>
  </si>
  <si>
    <t>4期実習生 送り出し機関支援管理費（02/24～03/23）</t>
  </si>
  <si>
    <t>7期実習生 送り出し機関支援管理費（02/24～03/23）</t>
  </si>
  <si>
    <t>8期実習生 送り出し機関支援管理費（03/01～03/28）</t>
  </si>
  <si>
    <t>10期実習生 送り出し機関支援管理費（03/08～04/07）</t>
  </si>
  <si>
    <t>11期実習生 送り出し機関支援管理費（02/23～03/22）</t>
  </si>
  <si>
    <t>12期実習生 送り出し機関支援管理費（02/22～03/21）</t>
  </si>
  <si>
    <t>13期実習生 送り出し機関支援管理費（03/20～04/19）</t>
  </si>
  <si>
    <t>14期実習生 送り出し機関支援管理費（03/20～04/19）</t>
  </si>
  <si>
    <t>15期実習生 送り出し機関支援管理費（03/20～04/19）</t>
  </si>
  <si>
    <t>3期実習生 支援監理費（02/06～03/05）</t>
  </si>
  <si>
    <t>3期実習生 送り出し機関支援管理費（02/06～03/05）</t>
  </si>
  <si>
    <t>3期 特定技能外国人支援手数料（03/08～04/07）</t>
  </si>
  <si>
    <t>3期 特定技能外国人送出機関支援協力費（03/08～04/07）</t>
  </si>
  <si>
    <t>4期実習生 支援監理費（02/04～03/03）</t>
  </si>
  <si>
    <t>4期実習生 送り出し機関支援管理費（02/04～03/03）</t>
  </si>
  <si>
    <t>3期 特定技能外国人支援手数料（02/25～03/24）</t>
  </si>
  <si>
    <t>3期 特定技能外国人送出機関支援協力費（02/25～03/24）</t>
  </si>
  <si>
    <t>5期 特定技能外国人支援手数料（03/08～04/07）</t>
  </si>
  <si>
    <t>5期 特定技能外国人送出機関支援協力費（03/08～04/07）</t>
  </si>
  <si>
    <t>1期実習生 支援監理費（03/08～04/07）</t>
  </si>
  <si>
    <t>1期実習生 送り出し機関支援管理費（03/08～04/07）</t>
  </si>
  <si>
    <t>2026/03/31</t>
  </si>
  <si>
    <t>2026/03/25</t>
  </si>
  <si>
    <t>青島泰成対外経済技术合作有限公司</t>
  </si>
  <si>
    <t>青島胶南东方経済合作有限公司</t>
  </si>
  <si>
    <t>江西対外労務経済合作有限公司</t>
  </si>
  <si>
    <t>大連恒山国際合作有限公司</t>
  </si>
  <si>
    <t>江苏省对外交流公司</t>
  </si>
  <si>
    <t>SODEYAMA FOUNDATION, INC.</t>
  </si>
  <si>
    <t>QUOC DAN COMPANY LIMITED</t>
  </si>
  <si>
    <t>TRANSPORT INDUSTRY CORPORATION (TRANSINCO)</t>
  </si>
  <si>
    <t>ラオス人民民主共和国労働社会福祉省労働局</t>
  </si>
  <si>
    <t>中国海外经济合作总公司</t>
  </si>
  <si>
    <t>牡丹江对外经济技术合作有限公司</t>
  </si>
  <si>
    <t>大连市普兰店北方境外职业交流中心</t>
  </si>
  <si>
    <t>海林市大运国际经济技术合作有限公司</t>
  </si>
  <si>
    <t>VINAMOTOR</t>
  </si>
  <si>
    <t>牡丹江山泉国際経済技術合作有限公司</t>
  </si>
  <si>
    <t>山東日昇国際経済技術合作有限公司</t>
  </si>
  <si>
    <t>牡丹江東陽国際経済技術合作有限公司</t>
  </si>
  <si>
    <t>TOCONTAP SAIGON JSC</t>
  </si>
  <si>
    <t>LPK YUTAKA MITRA INDONESIA</t>
  </si>
  <si>
    <t>PROSHIPSER HUMAN RESOURCES DEVELOPMENT JSC</t>
  </si>
  <si>
    <t>アイディアリズム㈱</t>
  </si>
  <si>
    <t>㈱アサヒゴーナイ  たばたまちひかり苑</t>
  </si>
  <si>
    <t>㈱アサヒゴーナイ  グループホーム笑顔</t>
  </si>
  <si>
    <t>亜細亜教育・投資㈱</t>
  </si>
  <si>
    <t>Asian Staff㈱</t>
  </si>
  <si>
    <t>㈱EKJP</t>
  </si>
  <si>
    <t>㈱イモタ</t>
  </si>
  <si>
    <t>BROADCAST INFORMATION DEVELOPMENT CORPORATION</t>
  </si>
  <si>
    <t>BROADCAST INFORMATION DEVELOPMENT AND INTERNATIONA</t>
  </si>
  <si>
    <t>㈱OK.G</t>
  </si>
  <si>
    <t>㈱岡本製作所 昭島工場</t>
  </si>
  <si>
    <t>㈱岡本製作所 茨城工場</t>
  </si>
  <si>
    <t>協同組合　海外交流促進センター</t>
  </si>
  <si>
    <t>㈱カバヤ工建</t>
  </si>
  <si>
    <t>㈱関東ダイエットエッグ 東村山工場</t>
  </si>
  <si>
    <t>㈱関東ダイエットクック 神奈川工場</t>
  </si>
  <si>
    <t>㈱関東ダイエットクック 所沢工場</t>
  </si>
  <si>
    <t>(福)吉幸会 野辺地ﾎｰﾑ</t>
  </si>
  <si>
    <t>(福)吉幸会</t>
  </si>
  <si>
    <t>(福)吉幸会　いちいの森</t>
  </si>
  <si>
    <t>(福)吉幸会　グループホームみろく苑</t>
  </si>
  <si>
    <t>(福)吉幸会　(特養)みろく苑</t>
  </si>
  <si>
    <t>(福)吉幸会  能舞の里</t>
  </si>
  <si>
    <t>(福)吉幸会  野辺地ホーム</t>
  </si>
  <si>
    <t>(福)吉幸会  ひだまり</t>
  </si>
  <si>
    <t>(福)吉幸会　ラ・メール小中野</t>
  </si>
  <si>
    <t>(福)吉幸会　ラ・メール白山台</t>
  </si>
  <si>
    <t>ギノウス㈱</t>
  </si>
  <si>
    <t>木部建設㈱</t>
  </si>
  <si>
    <t>㈱木村工業</t>
  </si>
  <si>
    <t>㈲クオリティー</t>
  </si>
  <si>
    <t>㈲国府田産業</t>
  </si>
  <si>
    <t>ケンコーマヨネーズ㈱ 神戸工場</t>
  </si>
  <si>
    <t>ケンコーマヨネーズ㈱ 工場統括部 生産衛生課</t>
  </si>
  <si>
    <t>ケンコーマヨネーズ㈱ 西神戸工場</t>
  </si>
  <si>
    <t>ケンコーマヨネーズ㈱ 西日本工場</t>
  </si>
  <si>
    <t>(福)江東ことぶき会</t>
  </si>
  <si>
    <t>㈱光和建設</t>
  </si>
  <si>
    <t>㈱興和建設</t>
  </si>
  <si>
    <t>コマツキカイ㈱</t>
  </si>
  <si>
    <t>㈱今野建業</t>
  </si>
  <si>
    <t>佐々木建設㈱</t>
  </si>
  <si>
    <t>㈲サンライフ</t>
  </si>
  <si>
    <t>滋賀オカタ産業㈱</t>
  </si>
  <si>
    <t>㈲秀建</t>
  </si>
  <si>
    <t>㈱新生工務 小牧事業所</t>
  </si>
  <si>
    <t>㈱新生工務 仙台営業所</t>
  </si>
  <si>
    <t>㈲鈴木材木店</t>
  </si>
  <si>
    <t>全国ビジネスサポート協同組合連合会</t>
  </si>
  <si>
    <t>㈱爽健亭 横浜工場</t>
  </si>
  <si>
    <t>VERDANT MANPOWER MOBILIZATION CENTER,INC.</t>
  </si>
  <si>
    <t>㈱大幹</t>
  </si>
  <si>
    <t>大昭産業㈱</t>
  </si>
  <si>
    <t>大連華世国際経済技術合作有限公司</t>
  </si>
  <si>
    <t>(福)沢朋会</t>
  </si>
  <si>
    <t>㈲田中商会</t>
  </si>
  <si>
    <t>㈲DK吉田建設</t>
  </si>
  <si>
    <t>NGOJCIA日本カンボジア交流協会</t>
  </si>
  <si>
    <t>(その他)㈱日本マルコ</t>
  </si>
  <si>
    <t>㈱日本マルコ</t>
  </si>
  <si>
    <t>㈱ハヤシ製作所</t>
  </si>
  <si>
    <t>ハンズ㈲</t>
  </si>
  <si>
    <t>㈱ベストライン</t>
  </si>
  <si>
    <t>VIET PHAT HUMAN RESOURCES JOINT STOCK COMPANY</t>
  </si>
  <si>
    <t>㈲堀田工業</t>
  </si>
  <si>
    <t>㈱本間架設</t>
  </si>
  <si>
    <t>㈱マエカワケアサービス(衣笠)</t>
  </si>
  <si>
    <t>㈲マゴシ精密製作所</t>
  </si>
  <si>
    <t>㈱松伸</t>
  </si>
  <si>
    <t>㈱武蔵組</t>
  </si>
  <si>
    <t>㈱むつみ</t>
  </si>
  <si>
    <t>㈱メフォス　首都圏第二事業部　いなげ一倫荘</t>
  </si>
  <si>
    <t>㈱メフォス　首都圏第二事業部　新千葉一倫荘</t>
  </si>
  <si>
    <t>㈱メフォス　首都圏第二事業部　筑波記念病院</t>
  </si>
  <si>
    <t>㈱メフォス　首都圏第二事業部　つつじ苑</t>
  </si>
  <si>
    <t>㈱メフォス　首都圏第二事業部　かとりの郷</t>
  </si>
  <si>
    <t>㈱メフォス　首都圏第二事業部　セコメディック病院</t>
  </si>
  <si>
    <t>㈱メフォス　首都圏第二事業部　総泉病院</t>
  </si>
  <si>
    <t>㈲望月工業</t>
  </si>
  <si>
    <t>㈲山口鉄筋</t>
  </si>
  <si>
    <t>(福)倭林会</t>
  </si>
  <si>
    <t>(医社)倭林会 武蔵野台病院</t>
  </si>
  <si>
    <t>(医社)佑樹会 あゆみの里</t>
  </si>
  <si>
    <t>(医社)佑樹会 なごみの里</t>
  </si>
  <si>
    <t>(医社)佑樹会 ふれあいの里</t>
  </si>
  <si>
    <t>菱華工業㈱</t>
  </si>
  <si>
    <t>アイチ製函</t>
  </si>
  <si>
    <t>アイチ物流</t>
  </si>
  <si>
    <t>アイディアリズム</t>
  </si>
  <si>
    <t>青山</t>
  </si>
  <si>
    <t>浅野屋</t>
  </si>
  <si>
    <t>アサヒゴーナイ  たばたまちひかり苑</t>
  </si>
  <si>
    <t>アサヒゴーナイ  グループホーム笑顔</t>
  </si>
  <si>
    <t>旭工務店</t>
  </si>
  <si>
    <t>亜細亜教育・投資</t>
  </si>
  <si>
    <t>Asian Staff</t>
  </si>
  <si>
    <t>ATACO</t>
  </si>
  <si>
    <t>アブソルト</t>
  </si>
  <si>
    <t>安部建設</t>
  </si>
  <si>
    <t>阿部敏工務店</t>
  </si>
  <si>
    <t>安斉興業</t>
  </si>
  <si>
    <t>EKJP</t>
  </si>
  <si>
    <t>泉興業</t>
  </si>
  <si>
    <t>イモタ</t>
  </si>
  <si>
    <t>入江工業</t>
  </si>
  <si>
    <t>五郎八</t>
  </si>
  <si>
    <t>岩永鉄筋</t>
  </si>
  <si>
    <t>インテリア大和</t>
  </si>
  <si>
    <t>牛澤工務店</t>
  </si>
  <si>
    <t>エームサービス　西日本HSS事業本部</t>
  </si>
  <si>
    <t>エアーポートカーゴサービス</t>
  </si>
  <si>
    <t>SKK</t>
  </si>
  <si>
    <t>S.T雅</t>
  </si>
  <si>
    <t>MRTエンジニアリング</t>
  </si>
  <si>
    <t>エルリングクリンガー･マルサン</t>
  </si>
  <si>
    <t>OK.G</t>
  </si>
  <si>
    <t>近江工業所</t>
  </si>
  <si>
    <t>大鷹組</t>
  </si>
  <si>
    <t>大野工業</t>
  </si>
  <si>
    <t>大村総業</t>
  </si>
  <si>
    <t>岡本製作所 昭島工場</t>
  </si>
  <si>
    <t>岡本製作所 茨城工場</t>
  </si>
  <si>
    <t>小川工業</t>
  </si>
  <si>
    <t>荻野屋</t>
  </si>
  <si>
    <t>小滝電機製作所</t>
  </si>
  <si>
    <t>オニワ</t>
  </si>
  <si>
    <t>小保方建鐵工業</t>
  </si>
  <si>
    <t>甲斐ガス圧接</t>
  </si>
  <si>
    <t>加澤商店</t>
  </si>
  <si>
    <t>カトキン</t>
  </si>
  <si>
    <t>カバヤ工建</t>
  </si>
  <si>
    <t>株本</t>
  </si>
  <si>
    <t>加森観光本社</t>
  </si>
  <si>
    <t>加山興業</t>
  </si>
  <si>
    <t>川上建築</t>
  </si>
  <si>
    <t>関西ダイエットクック</t>
  </si>
  <si>
    <t>関東総建</t>
  </si>
  <si>
    <t>関東ダイエットエッグ 会津若松工場</t>
  </si>
  <si>
    <t>関東ダイエットエッグ 東村山工場</t>
  </si>
  <si>
    <t>関東ダイエットクック 神奈川工場</t>
  </si>
  <si>
    <t>関東ダイエットクック 所沢工場</t>
  </si>
  <si>
    <t>吉幸会 野辺地ﾎｰﾑ</t>
  </si>
  <si>
    <t>吉幸会</t>
  </si>
  <si>
    <t>吉幸会　いちいの森</t>
  </si>
  <si>
    <t>吉幸会　グループホームみろく苑</t>
  </si>
  <si>
    <t>吉幸会　みろく苑</t>
  </si>
  <si>
    <t>吉幸会  能舞の里</t>
  </si>
  <si>
    <t>吉幸会  野辺地ホーム</t>
  </si>
  <si>
    <t>吉幸会  ひだまり</t>
  </si>
  <si>
    <t>吉幸会　ラ・メール小中野</t>
  </si>
  <si>
    <t>吉幸会　ラ・メール白山台</t>
  </si>
  <si>
    <t>ギノウス</t>
  </si>
  <si>
    <t>木部建設</t>
  </si>
  <si>
    <t>木村工業</t>
  </si>
  <si>
    <t>共栄ネット</t>
  </si>
  <si>
    <t>京吉</t>
  </si>
  <si>
    <t>協和パレット</t>
  </si>
  <si>
    <t>クオリティー</t>
  </si>
  <si>
    <t>国府田産業</t>
  </si>
  <si>
    <t>熊本菊寿会</t>
  </si>
  <si>
    <t>Ｋ２</t>
  </si>
  <si>
    <t>ケーブルテクニカ</t>
  </si>
  <si>
    <t>けやき道路工業</t>
  </si>
  <si>
    <t>ケンコーマヨネーズ</t>
  </si>
  <si>
    <t>ケンコーマヨネーズ 神戸工場</t>
  </si>
  <si>
    <t>ケンコーマヨネーズ 工場統括部 生産衛生課</t>
  </si>
  <si>
    <t>ケンコーマヨネーズ 西神戸工場</t>
  </si>
  <si>
    <t>ケンコーマヨネーズ 西日本工場</t>
  </si>
  <si>
    <t>建勝</t>
  </si>
  <si>
    <t>建設工業カリン</t>
  </si>
  <si>
    <t>ゴーナイエレック</t>
  </si>
  <si>
    <t>高栄自動車工業</t>
  </si>
  <si>
    <t>コウケン室内</t>
  </si>
  <si>
    <t>鋼鉄筋</t>
  </si>
  <si>
    <t>江東ことぶき会</t>
  </si>
  <si>
    <t>巧立建装</t>
  </si>
  <si>
    <t>肱陵建設</t>
  </si>
  <si>
    <t>光和建設</t>
  </si>
  <si>
    <t>興和建設</t>
  </si>
  <si>
    <t>小林興業</t>
  </si>
  <si>
    <t>湖北総合開発</t>
  </si>
  <si>
    <t>コマツキカイ</t>
  </si>
  <si>
    <t>湖蓉総業</t>
  </si>
  <si>
    <t>今野建業</t>
  </si>
  <si>
    <t>サウスジャパン</t>
  </si>
  <si>
    <t>崎原工業</t>
  </si>
  <si>
    <t>佐々木建設</t>
  </si>
  <si>
    <t>薩摩</t>
  </si>
  <si>
    <t>サトウ商会</t>
  </si>
  <si>
    <t>サンライフ</t>
  </si>
  <si>
    <t>三陸工業</t>
  </si>
  <si>
    <t>滋賀オカタ産業</t>
  </si>
  <si>
    <t>滋賀総合建設</t>
  </si>
  <si>
    <t>志田水産</t>
  </si>
  <si>
    <t>篠﨑建設</t>
  </si>
  <si>
    <t>秀建</t>
  </si>
  <si>
    <t>住宅管理社</t>
  </si>
  <si>
    <t>秀豊</t>
  </si>
  <si>
    <t>庄福工業</t>
  </si>
  <si>
    <t>シライシ</t>
  </si>
  <si>
    <t>しらさぎ苑</t>
  </si>
  <si>
    <t>深花園</t>
  </si>
  <si>
    <t>新生工務 岡山営業所</t>
  </si>
  <si>
    <t>新生工務 小牧事業所</t>
  </si>
  <si>
    <t>新生工務 仙台営業所</t>
  </si>
  <si>
    <t>新生工務 広島営業所</t>
  </si>
  <si>
    <t>シンテックス</t>
  </si>
  <si>
    <t>周防電機</t>
  </si>
  <si>
    <t>鈴木工業</t>
  </si>
  <si>
    <t>鈴木材木店</t>
  </si>
  <si>
    <t>鈴木鋳造</t>
  </si>
  <si>
    <t>SUBARU</t>
  </si>
  <si>
    <t>スパンカーシステム</t>
  </si>
  <si>
    <t>角田鉄工</t>
  </si>
  <si>
    <t>星光建設</t>
  </si>
  <si>
    <t>成信工業</t>
  </si>
  <si>
    <t>西武技研</t>
  </si>
  <si>
    <t>セルビス</t>
  </si>
  <si>
    <t>爽健亭 習志野工場</t>
  </si>
  <si>
    <t>爽健亭 横浜工場</t>
  </si>
  <si>
    <t>壮鉄鋼業</t>
  </si>
  <si>
    <t>創友建設工業</t>
  </si>
  <si>
    <t>SOERUTE</t>
  </si>
  <si>
    <t>曽根土木</t>
  </si>
  <si>
    <t>ダイイチテック</t>
  </si>
  <si>
    <t>ダイエットクック白老</t>
  </si>
  <si>
    <t>大幹</t>
  </si>
  <si>
    <t>大昭産業</t>
  </si>
  <si>
    <t>ダイハツインフィニアース姫路</t>
  </si>
  <si>
    <t>太平興業　秋田支店</t>
  </si>
  <si>
    <t>太平興業　魚沼支店</t>
  </si>
  <si>
    <t>太平興業　大館支店</t>
  </si>
  <si>
    <t>太平興業　三条支店</t>
  </si>
  <si>
    <t>太平興業　新発田支店</t>
  </si>
  <si>
    <t>太平興業　上越支店</t>
  </si>
  <si>
    <t>太平興業　荘内支店</t>
  </si>
  <si>
    <t>太平興業　鶴岡支店</t>
  </si>
  <si>
    <t>太平興業　長岡支店</t>
  </si>
  <si>
    <t>太平興業　新潟支店</t>
  </si>
  <si>
    <t>太平興業　山形支店</t>
  </si>
  <si>
    <t>太平興業　横手支店</t>
  </si>
  <si>
    <t>太平興業　米沢支店</t>
  </si>
  <si>
    <t>太洋工業</t>
  </si>
  <si>
    <t>高岡南福祉会</t>
  </si>
  <si>
    <t>沢朋会</t>
  </si>
  <si>
    <t>匠技建</t>
  </si>
  <si>
    <t>竹田建設</t>
  </si>
  <si>
    <t>田澤巧業</t>
  </si>
  <si>
    <t>田中商会</t>
  </si>
  <si>
    <t>タナカフォーサイト</t>
  </si>
  <si>
    <t>谷鐵鋼業</t>
  </si>
  <si>
    <t>中部工業</t>
  </si>
  <si>
    <t>ツナシマ</t>
  </si>
  <si>
    <t>DK吉田建設</t>
  </si>
  <si>
    <t>トーソー</t>
  </si>
  <si>
    <t>トーユー</t>
  </si>
  <si>
    <t>東京エネシス</t>
  </si>
  <si>
    <t>東滋産業</t>
  </si>
  <si>
    <t>東洋プレコン工業</t>
  </si>
  <si>
    <t>東和建鋼社</t>
  </si>
  <si>
    <t>徳永工事</t>
  </si>
  <si>
    <t>トダカクリエイト</t>
  </si>
  <si>
    <t>とだか建設</t>
  </si>
  <si>
    <t>戸田組</t>
  </si>
  <si>
    <t>トップライン</t>
  </si>
  <si>
    <t>斗米工業</t>
  </si>
  <si>
    <t>富井工業</t>
  </si>
  <si>
    <t>富川工業</t>
  </si>
  <si>
    <t>虎コーポレーション</t>
  </si>
  <si>
    <t>長井技研</t>
  </si>
  <si>
    <t>ナカバ建設</t>
  </si>
  <si>
    <t>日電工業</t>
  </si>
  <si>
    <t>日建</t>
  </si>
  <si>
    <t>新田工業</t>
  </si>
  <si>
    <t>日本エンジニア</t>
  </si>
  <si>
    <t>(その他)日本マルコ</t>
  </si>
  <si>
    <t>日本マルコ</t>
  </si>
  <si>
    <t>信商</t>
  </si>
  <si>
    <t>博興建設</t>
  </si>
  <si>
    <t>ハヤシ製作所</t>
  </si>
  <si>
    <t>ハンズ</t>
  </si>
  <si>
    <t>日改興業</t>
  </si>
  <si>
    <t>光自動車</t>
  </si>
  <si>
    <t>光製作所</t>
  </si>
  <si>
    <t>美建</t>
  </si>
  <si>
    <t>日野土建</t>
  </si>
  <si>
    <t>平岩建設</t>
  </si>
  <si>
    <t>平山工業</t>
  </si>
  <si>
    <t>ヒロ建設</t>
  </si>
  <si>
    <t>ファクトリー田山</t>
  </si>
  <si>
    <t>福浦組</t>
  </si>
  <si>
    <t>福谷舗道</t>
  </si>
  <si>
    <t>藤</t>
  </si>
  <si>
    <t>富士見道路</t>
  </si>
  <si>
    <t>扶桑鋼管</t>
  </si>
  <si>
    <t>扶桑チューブパーツ</t>
  </si>
  <si>
    <t>FLASH RISE</t>
  </si>
  <si>
    <t>フルカワ</t>
  </si>
  <si>
    <t>古川工業</t>
  </si>
  <si>
    <t>フルサワ建材</t>
  </si>
  <si>
    <t>平心会 小平健成苑</t>
  </si>
  <si>
    <t>平成興業</t>
  </si>
  <si>
    <t>平世美装</t>
  </si>
  <si>
    <t>ベストライン</t>
  </si>
  <si>
    <t>ベネレイト</t>
  </si>
  <si>
    <t>邦栄建設</t>
  </si>
  <si>
    <t>堀田工業</t>
  </si>
  <si>
    <t>ホリコー</t>
  </si>
  <si>
    <t>ホンダ自動車加賀</t>
  </si>
  <si>
    <t>ホンダモビリティ中部</t>
  </si>
  <si>
    <t>本間架設</t>
  </si>
  <si>
    <t>マエカワケアサービス(衣笠)</t>
  </si>
  <si>
    <t>マゴシ精密製作所</t>
  </si>
  <si>
    <t>マサノリ工務店</t>
  </si>
  <si>
    <t>松岡</t>
  </si>
  <si>
    <t>松伸</t>
  </si>
  <si>
    <t>松永建設</t>
  </si>
  <si>
    <t>丸三工業</t>
  </si>
  <si>
    <t>マルズ</t>
  </si>
  <si>
    <t>丸忠産業</t>
  </si>
  <si>
    <t>マルフクメディカルフーズ</t>
  </si>
  <si>
    <t>美ショウ</t>
  </si>
  <si>
    <t>ミドリテクノパーク</t>
  </si>
  <si>
    <t>南建設</t>
  </si>
  <si>
    <t>美好工業</t>
  </si>
  <si>
    <t>武蔵組</t>
  </si>
  <si>
    <t>むつみ</t>
  </si>
  <si>
    <t>明成建設</t>
  </si>
  <si>
    <t>メフォス　首都圏第二事業部　いなげ一倫荘</t>
  </si>
  <si>
    <t>メフォス　首都圏第二事業部　新千葉一倫荘</t>
  </si>
  <si>
    <t>メフォス　首都圏第二事業部　筑波記念病院</t>
  </si>
  <si>
    <t>メフォス　首都圏第二事業部　つつじ苑</t>
  </si>
  <si>
    <t>メフォス　首都圏第二事業部　ユー・アイ久楽部</t>
  </si>
  <si>
    <t>メフォス　首都圏第二事業部　かとりの郷</t>
  </si>
  <si>
    <t>メフォス　首都圏第二事業部　セコメディック病院</t>
  </si>
  <si>
    <t>メフォス　首都圏第二事業部　総泉病院</t>
  </si>
  <si>
    <t>望月工業</t>
  </si>
  <si>
    <t>望月工務店</t>
  </si>
  <si>
    <t>守屋工業所</t>
  </si>
  <si>
    <t>山口鉄筋</t>
  </si>
  <si>
    <t>倭林会</t>
  </si>
  <si>
    <t>倭林会 武蔵野台病院</t>
  </si>
  <si>
    <t>ユーカリ優都会</t>
  </si>
  <si>
    <t>佑樹会 あゆみの里</t>
  </si>
  <si>
    <t>佑樹会 なごみの里</t>
  </si>
  <si>
    <t>佑樹会 ふれあいの里</t>
  </si>
  <si>
    <t>吉村興業</t>
  </si>
  <si>
    <t>米伸</t>
  </si>
  <si>
    <t>ライラック・フーズ</t>
  </si>
  <si>
    <t>琉建設</t>
  </si>
  <si>
    <t>竜進建設</t>
  </si>
  <si>
    <t>菱華工業</t>
  </si>
  <si>
    <t>龍舞</t>
  </si>
  <si>
    <t>ワコーファッション</t>
  </si>
  <si>
    <t>渡部</t>
  </si>
  <si>
    <t>八重洲</t>
  </si>
  <si>
    <t>FAST</t>
  </si>
  <si>
    <t>S-ROAD 集計</t>
  </si>
  <si>
    <t>S.T雅 集計</t>
  </si>
  <si>
    <t>SKK 集計</t>
  </si>
  <si>
    <t>アイチ物流 集計</t>
  </si>
  <si>
    <t>アイチ製函 集計</t>
  </si>
  <si>
    <t>エームサービス　西日本HSS事業本部 集計</t>
  </si>
  <si>
    <t>エルリングクリンガー･マルサン 集計</t>
  </si>
  <si>
    <t>ケーブルテクニカ 集計</t>
  </si>
  <si>
    <t>けやき道路工業 集計</t>
  </si>
  <si>
    <t>ケンコーマヨネーズ 集計</t>
  </si>
  <si>
    <t>サウスジャパン 集計</t>
  </si>
  <si>
    <t>シンテックス 集計</t>
  </si>
  <si>
    <t>ダイハツインフィニアース姫路 集計</t>
  </si>
  <si>
    <t>タナカフォーサイト 集計</t>
  </si>
  <si>
    <t>トーソー 集計</t>
  </si>
  <si>
    <t>トップライン 集計</t>
  </si>
  <si>
    <t>ライラック・フーズ 集計</t>
  </si>
  <si>
    <t>中部工業 集計</t>
  </si>
  <si>
    <t>丸三工業 集計</t>
  </si>
  <si>
    <t>加山興業 集計</t>
  </si>
  <si>
    <t>博興建設 集計</t>
  </si>
  <si>
    <t>古川工業 集計</t>
  </si>
  <si>
    <t>吉村興業 集計</t>
  </si>
  <si>
    <t>周防電機 集計</t>
  </si>
  <si>
    <t>壮鉄鋼業 集計</t>
  </si>
  <si>
    <t>大野工業 集計</t>
  </si>
  <si>
    <t>太平興業　三条支店 集計</t>
  </si>
  <si>
    <t>太平興業　上越支店 集計</t>
  </si>
  <si>
    <t>太平興業　大館支店 集計</t>
  </si>
  <si>
    <t>太平興業　山形支店 集計</t>
  </si>
  <si>
    <t>太平興業　新潟支店 集計</t>
  </si>
  <si>
    <t>太平興業　新発田支店 集計</t>
  </si>
  <si>
    <t>太平興業　横手支店 集計</t>
  </si>
  <si>
    <t>太平興業　秋田支店 集計</t>
  </si>
  <si>
    <t>太平興業　米沢支店 集計</t>
  </si>
  <si>
    <t>太平興業　荘内支店 集計</t>
  </si>
  <si>
    <t>太平興業　長岡支店 集計</t>
  </si>
  <si>
    <t>太平興業　魚沼支店 集計</t>
  </si>
  <si>
    <t>太平興業　鶴岡支店 集計</t>
  </si>
  <si>
    <t>富川工業 集計</t>
  </si>
  <si>
    <t>小川工業 集計</t>
  </si>
  <si>
    <t>岩永鉄筋 集計</t>
  </si>
  <si>
    <t>巧立建装 集計</t>
  </si>
  <si>
    <t>平世美装 集計</t>
  </si>
  <si>
    <t>平岩建設 集計</t>
  </si>
  <si>
    <t>平成興業 集計</t>
  </si>
  <si>
    <t>庄福工業 集計</t>
  </si>
  <si>
    <t>徳永工事 集計</t>
  </si>
  <si>
    <t>扶桑チューブパーツ 集計</t>
  </si>
  <si>
    <t>扶桑鋼管 集計</t>
  </si>
  <si>
    <t>日改興業 集計</t>
  </si>
  <si>
    <t>日電工業 集計</t>
  </si>
  <si>
    <t>明成建設 集計</t>
  </si>
  <si>
    <t>FLASH RISE 集計</t>
  </si>
  <si>
    <t>インテリア大和 集計</t>
  </si>
  <si>
    <t>カトキン 集計</t>
  </si>
  <si>
    <t>しらさぎ苑 集計</t>
  </si>
  <si>
    <t>セルビス 集計</t>
  </si>
  <si>
    <t>ナカバ建設 集計</t>
  </si>
  <si>
    <t>フルサワ建材 集計</t>
  </si>
  <si>
    <t>ベネレイト 集計</t>
  </si>
  <si>
    <t>マサノリ工務店 集計</t>
  </si>
  <si>
    <t>マルフクメディカルフーズ 集計</t>
  </si>
  <si>
    <t>三陸工業 集計</t>
  </si>
  <si>
    <t>京吉 集計</t>
  </si>
  <si>
    <t>住宅管理社 集計</t>
  </si>
  <si>
    <t>入江工業 集計</t>
  </si>
  <si>
    <t>加澤商店 集計</t>
  </si>
  <si>
    <t>匠技建 集計</t>
  </si>
  <si>
    <t>安斉興業 集計</t>
  </si>
  <si>
    <t>富井工業 集計</t>
  </si>
  <si>
    <t>小林興業 集計</t>
  </si>
  <si>
    <t>日野土建 集計</t>
  </si>
  <si>
    <t>旭工務店 集計</t>
  </si>
  <si>
    <t>曽根土木 集計</t>
  </si>
  <si>
    <t>木村工業 集計</t>
  </si>
  <si>
    <t>東滋産業 集計</t>
  </si>
  <si>
    <t>深花園 集計</t>
  </si>
  <si>
    <t>渡部 集計</t>
  </si>
  <si>
    <t>牛澤工務店 集計</t>
  </si>
  <si>
    <t>田澤巧業 集計</t>
  </si>
  <si>
    <t>福浦組 集計</t>
  </si>
  <si>
    <t>福谷舗道 集計</t>
  </si>
  <si>
    <t>竹田建設 集計</t>
  </si>
  <si>
    <t>篠﨑建設 集計</t>
  </si>
  <si>
    <t>鋼鉄筋 集計</t>
  </si>
  <si>
    <t>阿部敏工務店 集計</t>
  </si>
  <si>
    <t>東洋プレコン工業 集計</t>
  </si>
  <si>
    <t>松岡 集計</t>
  </si>
  <si>
    <t>ATACO 集計</t>
  </si>
  <si>
    <t>Ｋ２ 集計</t>
  </si>
  <si>
    <t>MRTエンジニアリング 集計</t>
  </si>
  <si>
    <t>SOERUTE 集計</t>
  </si>
  <si>
    <t>SUBARU 集計</t>
  </si>
  <si>
    <t>アブソルト 集計</t>
  </si>
  <si>
    <t>エアーポートカーゴサービス 集計</t>
  </si>
  <si>
    <t>オニワ 集計</t>
  </si>
  <si>
    <t>ゴーナイエレック 集計</t>
  </si>
  <si>
    <t>コウケン室内 集計</t>
  </si>
  <si>
    <t>サトウ商会 集計</t>
  </si>
  <si>
    <t>シライシ 集計</t>
  </si>
  <si>
    <t>スパンカーシステム 集計</t>
  </si>
  <si>
    <t>ダイイチテック 集計</t>
  </si>
  <si>
    <t>ダイエットクック白老 集計</t>
  </si>
  <si>
    <t>ツナシマ 集計</t>
  </si>
  <si>
    <t>トーユー 集計</t>
  </si>
  <si>
    <t>トダカクリエイト 集計</t>
  </si>
  <si>
    <t>とだか建設 集計</t>
  </si>
  <si>
    <t>ヒロ建設 集計</t>
  </si>
  <si>
    <t>ファクトリー田山 集計</t>
  </si>
  <si>
    <t>フルカワ 集計</t>
  </si>
  <si>
    <t>ホリコー 集計</t>
  </si>
  <si>
    <t>ホンダモビリティ中部 集計</t>
  </si>
  <si>
    <t>ホンダ自動車加賀 集計</t>
  </si>
  <si>
    <t>マルズ 集計</t>
  </si>
  <si>
    <t>ミドリテクノパーク 集計</t>
  </si>
  <si>
    <t>メフォス　首都圏第二事業部　ユー・アイ久楽部 集計</t>
  </si>
  <si>
    <t>ワコーファッション 集計</t>
  </si>
  <si>
    <t>丸忠産業 集計</t>
  </si>
  <si>
    <t>五郎八 集計</t>
  </si>
  <si>
    <t>信商 集計</t>
  </si>
  <si>
    <t>光自動車 集計</t>
  </si>
  <si>
    <t>光製作所 集計</t>
  </si>
  <si>
    <t>共栄ネット 集計</t>
  </si>
  <si>
    <t>創友建設工業 集計</t>
  </si>
  <si>
    <t>加森観光本社 集計</t>
  </si>
  <si>
    <t>協和パレット 集計</t>
  </si>
  <si>
    <t>南建設 集計</t>
  </si>
  <si>
    <t>大村総業 集計</t>
  </si>
  <si>
    <t>大鷹組 集計</t>
  </si>
  <si>
    <t>太洋工業 集計</t>
  </si>
  <si>
    <t>守屋工業所 集計</t>
  </si>
  <si>
    <t>安部建設 集計</t>
  </si>
  <si>
    <t>富士見道路 集計</t>
  </si>
  <si>
    <t>小保方建鐵工業 集計</t>
  </si>
  <si>
    <t>小滝電機製作所 集計</t>
  </si>
  <si>
    <t>崎原工業 集計</t>
  </si>
  <si>
    <t>川上建築 集計</t>
  </si>
  <si>
    <t>平山工業 集計</t>
  </si>
  <si>
    <t>建勝 集計</t>
  </si>
  <si>
    <t>建設工業カリン 集計</t>
  </si>
  <si>
    <t>志田水産 集計</t>
  </si>
  <si>
    <t>成信工業 集計</t>
  </si>
  <si>
    <t>戸田組 集計</t>
  </si>
  <si>
    <t>斗米工業 集計</t>
  </si>
  <si>
    <t>新生工務 岡山営業所 集計</t>
  </si>
  <si>
    <t>新生工務 広島営業所 集計</t>
  </si>
  <si>
    <t>新田工業 集計</t>
  </si>
  <si>
    <t>日建 集計</t>
  </si>
  <si>
    <t>日本エンジニア 集計</t>
  </si>
  <si>
    <t>星光建設 集計</t>
  </si>
  <si>
    <t>望月工務店 集計</t>
  </si>
  <si>
    <t>東京エネシス 集計</t>
  </si>
  <si>
    <t>東和建鋼社 集計</t>
  </si>
  <si>
    <t>松永建設 集計</t>
  </si>
  <si>
    <t>株本 集計</t>
  </si>
  <si>
    <t>泉興業 集計</t>
  </si>
  <si>
    <t>浅野屋 集計</t>
  </si>
  <si>
    <t>湖蓉総業 集計</t>
  </si>
  <si>
    <t>爽健亭 習志野工場 集計</t>
  </si>
  <si>
    <t>甲斐ガス圧接 集計</t>
  </si>
  <si>
    <t>秀豊 集計</t>
  </si>
  <si>
    <t>米伸 集計</t>
  </si>
  <si>
    <t>美ショウ 集計</t>
  </si>
  <si>
    <t>美好工業 集計</t>
  </si>
  <si>
    <t>美建 集計</t>
  </si>
  <si>
    <t>肱陵建設 集計</t>
  </si>
  <si>
    <t>荻野屋 集計</t>
  </si>
  <si>
    <t>薩摩 集計</t>
  </si>
  <si>
    <t>藤 集計</t>
  </si>
  <si>
    <t>西武技研 集計</t>
  </si>
  <si>
    <t>近江工業所 集計</t>
  </si>
  <si>
    <t>鈴木工業 集計</t>
  </si>
  <si>
    <t>長井技研 集計</t>
  </si>
  <si>
    <t>関東ダイエットエッグ 会津若松工場 集計</t>
  </si>
  <si>
    <t>関西ダイエットクック 集計</t>
  </si>
  <si>
    <t>青山 集計</t>
  </si>
  <si>
    <t>龍舞 集計</t>
  </si>
  <si>
    <t>湖北総合開発 集計</t>
  </si>
  <si>
    <t>滋賀総合建設 集計</t>
  </si>
  <si>
    <t>琉建設 集計</t>
  </si>
  <si>
    <t>ユーカリ優都会 集計</t>
  </si>
  <si>
    <t>平心会 小平健成苑 集計</t>
  </si>
  <si>
    <t>熊本菊寿会 集計</t>
  </si>
  <si>
    <t>高岡南福祉会 集計</t>
  </si>
  <si>
    <t>竜進建設 集計</t>
  </si>
  <si>
    <t>虎コーポレーション 集計</t>
  </si>
  <si>
    <t>角田鉄工 集計</t>
  </si>
  <si>
    <t>谷鐵鋼業 集計</t>
  </si>
  <si>
    <t>邦栄建設 集計</t>
  </si>
  <si>
    <t>鈴木鋳造 集計</t>
  </si>
  <si>
    <t>関東総建 集計</t>
  </si>
  <si>
    <t>高栄自動車工業 集計</t>
  </si>
</sst>
</file>

<file path=xl/styles.xml><?xml version="1.0" encoding="utf-8"?>
<styleSheet xmlns="http://schemas.openxmlformats.org/spreadsheetml/2006/main" xml:space="preserve">
  <numFmts count="3">
    <numFmt numFmtId="164" formatCode="m/d;@"/>
    <numFmt numFmtId="165" formatCode="#,##0_ "/>
    <numFmt numFmtId="166" formatCode="yyyy/m/d;@"/>
  </numFmts>
  <fonts count="11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1"/>
      <color rgb="FF000000"/>
      <name val="Meiryo UI"/>
    </font>
    <font>
      <b val="1"/>
      <i val="0"/>
      <strike val="0"/>
      <u val="none"/>
      <sz val="11"/>
      <color rgb="FF000000"/>
      <name val="Meiryo UI"/>
    </font>
    <font>
      <b val="1"/>
      <i val="0"/>
      <strike val="0"/>
      <u val="none"/>
      <sz val="11"/>
      <color rgb="FFFF0000"/>
      <name val="Meiryo UI"/>
    </font>
    <font>
      <b val="1"/>
      <i val="0"/>
      <strike val="0"/>
      <u val="none"/>
      <sz val="14"/>
      <color rgb="FFFF0000"/>
      <name val="Meiryo UI"/>
    </font>
    <font>
      <b val="1"/>
      <i val="0"/>
      <strike val="0"/>
      <u val="none"/>
      <sz val="11"/>
      <color rgb="FF0070C0"/>
      <name val="Meiryo UI"/>
    </font>
    <font>
      <b val="1"/>
      <i val="0"/>
      <strike val="0"/>
      <u val="none"/>
      <sz val="14"/>
      <color rgb="FF0070C0"/>
      <name val="Meiryo UI"/>
    </font>
    <font>
      <b val="0"/>
      <i val="0"/>
      <strike val="0"/>
      <u val="none"/>
      <sz val="9"/>
      <color rgb="FF000000"/>
      <name val="Meiryo UI"/>
    </font>
    <font>
      <b val="0"/>
      <i val="0"/>
      <strike val="0"/>
      <u val="none"/>
      <sz val="10"/>
      <color rgb="FF000000"/>
      <name val="Meiryo UI"/>
    </font>
    <font>
      <b val="0"/>
      <i val="0"/>
      <strike val="0"/>
      <u val="none"/>
      <sz val="8"/>
      <color rgb="FF000000"/>
      <name val="Meiryo UI"/>
    </font>
    <font>
      <b val="1"/>
      <i val="0"/>
      <strike val="0"/>
      <u val="double"/>
      <sz val="11"/>
      <color rgb="FF000000"/>
      <name val="Meiryo UI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0CECE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FF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99CC"/>
        <bgColor rgb="FFFFFFFF"/>
      </patternFill>
    </fill>
  </fills>
  <borders count="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true"/>
    </xf>
    <xf xfId="0" fontId="1" numFmtId="0" fillId="0" borderId="1" applyFont="1" applyNumberFormat="0" applyFill="0" applyBorder="1" applyAlignment="1">
      <alignment horizontal="center" vertical="center" textRotation="0" wrapText="false" shrinkToFit="true"/>
    </xf>
    <xf xfId="0" fontId="1" numFmtId="38" fillId="0" borderId="1" applyFont="1" applyNumberFormat="1" applyFill="0" applyBorder="1" applyAlignment="1">
      <alignment vertical="center" textRotation="0" wrapText="false" shrinkToFit="true"/>
    </xf>
    <xf xfId="0" fontId="1" numFmtId="38" fillId="2" borderId="1" applyFont="1" applyNumberFormat="1" applyFill="1" applyBorder="1" applyAlignment="1">
      <alignment horizontal="left" vertical="center" textRotation="0" wrapText="false" shrinkToFit="true"/>
    </xf>
    <xf xfId="0" fontId="1" numFmtId="38" fillId="2" borderId="1" applyFont="1" applyNumberFormat="1" applyFill="1" applyBorder="1" applyAlignment="1">
      <alignment horizontal="center" vertical="center" textRotation="0" wrapText="false" shrinkToFit="true"/>
    </xf>
    <xf xfId="0" fontId="1" numFmtId="38" fillId="2" borderId="2" applyFont="1" applyNumberFormat="1" applyFill="1" applyBorder="1" applyAlignment="1">
      <alignment horizontal="left" vertical="center" textRotation="0" wrapText="false" shrinkToFit="true"/>
    </xf>
    <xf xfId="0" fontId="2" numFmtId="38" fillId="3" borderId="1" applyFont="1" applyNumberFormat="1" applyFill="1" applyBorder="1" applyAlignment="1">
      <alignment horizontal="center" vertical="center" textRotation="0" wrapText="false" shrinkToFit="true"/>
    </xf>
    <xf xfId="0" fontId="1" numFmtId="0" fillId="4" borderId="1" applyFont="1" applyNumberFormat="0" applyFill="1" applyBorder="1" applyAlignment="1">
      <alignment horizontal="center" vertical="center" textRotation="0" wrapText="false" shrinkToFit="true"/>
    </xf>
    <xf xfId="0" fontId="1" numFmtId="0" fillId="0" borderId="0" applyFont="1" applyNumberFormat="0" applyFill="0" applyBorder="0" applyAlignment="1">
      <alignment vertical="center" textRotation="0" wrapText="false" shrinkToFit="true"/>
    </xf>
    <xf xfId="0" fontId="1" numFmtId="38" fillId="0" borderId="0" applyFont="1" applyNumberFormat="1" applyFill="0" applyBorder="0" applyAlignment="1">
      <alignment vertical="center" textRotation="0" wrapText="false" shrinkToFit="true"/>
    </xf>
    <xf xfId="0" fontId="1" numFmtId="0" fillId="5" borderId="1" applyFont="1" applyNumberFormat="0" applyFill="1" applyBorder="1" applyAlignment="1">
      <alignment horizontal="center" vertical="center" textRotation="0" wrapText="false" shrinkToFit="true"/>
    </xf>
    <xf xfId="0" fontId="2" numFmtId="0" fillId="5" borderId="1" applyFont="1" applyNumberFormat="0" applyFill="1" applyBorder="1" applyAlignment="1">
      <alignment horizontal="center" vertical="center" textRotation="0" wrapText="false" shrinkToFit="true"/>
    </xf>
    <xf xfId="0" fontId="1" numFmtId="14" fillId="0" borderId="1" applyFont="1" applyNumberFormat="1" applyFill="0" applyBorder="1" applyAlignment="1">
      <alignment vertical="center" textRotation="0" wrapText="false" shrinkToFit="true"/>
    </xf>
    <xf xfId="0" fontId="1" numFmtId="38" fillId="0" borderId="1" applyFont="1" applyNumberFormat="1" applyFill="0" applyBorder="1" applyAlignment="1">
      <alignment vertical="center" textRotation="0" wrapText="false" shrinkToFit="true"/>
    </xf>
    <xf xfId="0" fontId="1" numFmtId="38" fillId="0" borderId="1" applyFont="1" applyNumberFormat="1" applyFill="0" applyBorder="1" applyAlignment="1">
      <alignment horizontal="left" vertical="center" textRotation="0" wrapText="false" shrinkToFit="true"/>
    </xf>
    <xf xfId="0" fontId="1" numFmtId="38" fillId="0" borderId="1" applyFont="1" applyNumberFormat="1" applyFill="0" applyBorder="1" applyAlignment="1">
      <alignment horizontal="center" vertical="center" textRotation="0" wrapText="false" shrinkToFit="true"/>
    </xf>
    <xf xfId="0" fontId="1" numFmtId="38" fillId="0" borderId="2" applyFont="1" applyNumberFormat="1" applyFill="0" applyBorder="1" applyAlignment="1">
      <alignment horizontal="left" vertical="center" textRotation="0" wrapText="false" shrinkToFit="true"/>
    </xf>
    <xf xfId="0" fontId="1" numFmtId="0" fillId="0" borderId="2" applyFont="1" applyNumberFormat="0" applyFill="0" applyBorder="1" applyAlignment="1">
      <alignment vertical="center" textRotation="0" wrapText="false" shrinkToFit="true"/>
    </xf>
    <xf xfId="0" fontId="1" numFmtId="38" fillId="0" borderId="2" applyFont="1" applyNumberFormat="1" applyFill="0" applyBorder="1" applyAlignment="1">
      <alignment vertical="center" textRotation="0" wrapText="false" shrinkToFit="true"/>
    </xf>
    <xf xfId="0" fontId="2" numFmtId="0" fillId="0" borderId="2" applyFont="1" applyNumberFormat="0" applyFill="0" applyBorder="1" applyAlignment="1">
      <alignment vertical="center" textRotation="0" wrapText="false" shrinkToFit="true"/>
    </xf>
    <xf xfId="0" fontId="1" numFmtId="38" fillId="0" borderId="2" applyFont="1" applyNumberFormat="1" applyFill="0" applyBorder="1" applyAlignment="1">
      <alignment vertical="center" textRotation="0" wrapText="false" shrinkToFit="true"/>
    </xf>
    <xf xfId="0" fontId="3" numFmtId="0" fillId="0" borderId="0" applyFont="1" applyNumberFormat="0" applyFill="0" applyBorder="0" applyAlignment="1">
      <alignment vertical="center" textRotation="0" wrapText="false" shrinkToFit="true"/>
    </xf>
    <xf xfId="0" fontId="4" numFmtId="38" fillId="0" borderId="0" applyFont="1" applyNumberFormat="1" applyFill="0" applyBorder="0" applyAlignment="1">
      <alignment vertical="center" textRotation="0" wrapText="false" shrinkToFit="true"/>
    </xf>
    <xf xfId="0" fontId="5" numFmtId="0" fillId="0" borderId="0" applyFont="1" applyNumberFormat="0" applyFill="0" applyBorder="0" applyAlignment="1">
      <alignment vertical="center" textRotation="0" wrapText="false" shrinkToFit="true"/>
    </xf>
    <xf xfId="0" fontId="6" numFmtId="38" fillId="0" borderId="0" applyFont="1" applyNumberFormat="1" applyFill="0" applyBorder="0" applyAlignment="1">
      <alignment vertical="center" textRotation="0" wrapText="false" shrinkToFit="true"/>
    </xf>
    <xf xfId="0" fontId="1" numFmtId="0" fillId="0" borderId="0" applyFont="1" applyNumberFormat="0" applyFill="0" applyBorder="0" applyAlignment="1">
      <alignment horizontal="right" vertical="center" textRotation="0" wrapText="false" shrinkToFit="true"/>
    </xf>
    <xf xfId="0" fontId="1" numFmtId="164" fillId="0" borderId="3" applyFont="1" applyNumberFormat="1" applyFill="0" applyBorder="1" applyAlignment="1">
      <alignment vertical="center" textRotation="0" wrapText="false" shrinkToFit="true"/>
    </xf>
    <xf xfId="0" fontId="1" numFmtId="0" fillId="0" borderId="3" applyFont="1" applyNumberFormat="0" applyFill="0" applyBorder="1" applyAlignment="1">
      <alignment vertical="center" textRotation="0" wrapText="false" shrinkToFit="true"/>
    </xf>
    <xf xfId="0" fontId="1" numFmtId="38" fillId="0" borderId="3" applyFont="1" applyNumberFormat="1" applyFill="0" applyBorder="1" applyAlignment="1">
      <alignment vertical="center" textRotation="0" wrapText="false" shrinkToFit="true"/>
    </xf>
    <xf xfId="0" fontId="2" numFmtId="38" fillId="2" borderId="0" applyFont="1" applyNumberFormat="1" applyFill="1" applyBorder="0" applyAlignment="1">
      <alignment horizontal="center" vertical="center" textRotation="0" wrapText="false" shrinkToFit="true"/>
    </xf>
    <xf xfId="0" fontId="2" numFmtId="38" fillId="2" borderId="1" applyFont="1" applyNumberFormat="1" applyFill="1" applyBorder="1" applyAlignment="1">
      <alignment horizontal="center" vertical="center" textRotation="0" wrapText="false" shrinkToFit="true"/>
    </xf>
    <xf xfId="0" fontId="1" numFmtId="165" fillId="0" borderId="0" applyFont="1" applyNumberFormat="1" applyFill="0" applyBorder="0" applyAlignment="1">
      <alignment vertical="center" textRotation="0" wrapText="false" shrinkToFit="true"/>
    </xf>
    <xf xfId="0" fontId="1" numFmtId="166" fillId="0" borderId="0" applyFont="1" applyNumberFormat="1" applyFill="0" applyBorder="0" applyAlignment="1">
      <alignment vertical="center" textRotation="0" wrapText="false" shrinkToFit="true"/>
    </xf>
    <xf xfId="0" fontId="1" numFmtId="164" fillId="0" borderId="0" applyFont="1" applyNumberFormat="1" applyFill="0" applyBorder="0" applyAlignment="1">
      <alignment vertical="center" textRotation="0" wrapText="false" shrinkToFit="true"/>
    </xf>
    <xf xfId="0" fontId="7" numFmtId="164" fillId="4" borderId="0" applyFont="1" applyNumberFormat="1" applyFill="1" applyBorder="0" applyAlignment="1">
      <alignment vertical="center" textRotation="0" wrapText="true" shrinkToFit="true"/>
    </xf>
    <xf xfId="0" fontId="1" numFmtId="0" fillId="4" borderId="3" applyFont="1" applyNumberFormat="0" applyFill="1" applyBorder="1" applyAlignment="1">
      <alignment vertical="center" textRotation="0" wrapText="false" shrinkToFit="true"/>
    </xf>
    <xf xfId="0" fontId="1" numFmtId="38" fillId="4" borderId="1" applyFont="1" applyNumberFormat="1" applyFill="1" applyBorder="1" applyAlignment="1">
      <alignment vertical="center" textRotation="0" wrapText="false" shrinkToFit="true"/>
    </xf>
    <xf xfId="0" fontId="7" numFmtId="164" fillId="0" borderId="0" applyFont="1" applyNumberFormat="1" applyFill="0" applyBorder="0" applyAlignment="1">
      <alignment vertical="center" textRotation="0" wrapText="true" shrinkToFit="true"/>
    </xf>
    <xf xfId="0" fontId="1" numFmtId="0" fillId="0" borderId="4" applyFont="1" applyNumberFormat="0" applyFill="0" applyBorder="1" applyAlignment="1">
      <alignment vertical="center" textRotation="0" wrapText="false" shrinkToFit="true"/>
    </xf>
    <xf xfId="0" fontId="1" numFmtId="38" fillId="0" borderId="4" applyFont="1" applyNumberFormat="1" applyFill="0" applyBorder="1" applyAlignment="1">
      <alignment vertical="center" textRotation="0" wrapText="false" shrinkToFit="true"/>
    </xf>
    <xf xfId="0" fontId="1" numFmtId="0" fillId="4" borderId="4" applyFont="1" applyNumberFormat="0" applyFill="1" applyBorder="1" applyAlignment="1">
      <alignment vertical="center" textRotation="0" wrapText="false" shrinkToFit="true"/>
    </xf>
    <xf xfId="0" fontId="1" numFmtId="0" fillId="4" borderId="0" applyFont="1" applyNumberFormat="0" applyFill="1" applyBorder="0" applyAlignment="1">
      <alignment vertical="center" textRotation="0" wrapText="false" shrinkToFit="true"/>
    </xf>
    <xf xfId="0" fontId="1" numFmtId="38" fillId="0" borderId="0" applyFont="1" applyNumberFormat="1" applyFill="0" applyBorder="0" applyAlignment="1">
      <alignment vertical="center" textRotation="0" wrapText="false" shrinkToFit="true"/>
    </xf>
    <xf xfId="0" fontId="2" numFmtId="38" fillId="0" borderId="0" applyFont="1" applyNumberFormat="1" applyFill="0" applyBorder="0" applyAlignment="1">
      <alignment horizontal="center" vertical="center" textRotation="0" wrapText="false" shrinkToFit="true"/>
    </xf>
    <xf xfId="0" fontId="2" numFmtId="38" fillId="0" borderId="1" applyFont="1" applyNumberFormat="1" applyFill="0" applyBorder="1" applyAlignment="1">
      <alignment horizontal="center" vertical="center" textRotation="0" wrapText="false" shrinkToFit="true"/>
    </xf>
    <xf xfId="0" fontId="1" numFmtId="38" fillId="0" borderId="3" applyFont="1" applyNumberFormat="1" applyFill="0" applyBorder="1" applyAlignment="1">
      <alignment vertical="center" textRotation="0" wrapText="false" shrinkToFit="true"/>
    </xf>
    <xf xfId="0" fontId="8" numFmtId="0" fillId="6" borderId="0" applyFont="1" applyNumberFormat="0" applyFill="1" applyBorder="0" applyAlignment="1">
      <alignment horizontal="right" vertical="center" textRotation="0" wrapText="false" shrinkToFit="true"/>
    </xf>
    <xf xfId="0" fontId="1" numFmtId="164" fillId="6" borderId="3" applyFont="1" applyNumberFormat="1" applyFill="1" applyBorder="1" applyAlignment="1">
      <alignment vertical="center" textRotation="0" wrapText="false" shrinkToFit="true"/>
    </xf>
    <xf xfId="0" fontId="8" numFmtId="0" fillId="0" borderId="0" applyFont="1" applyNumberFormat="0" applyFill="0" applyBorder="0" applyAlignment="1">
      <alignment vertical="center" textRotation="0" wrapText="false" shrinkToFit="true"/>
    </xf>
    <xf xfId="0" fontId="1" numFmtId="0" fillId="6" borderId="0" applyFont="1" applyNumberFormat="0" applyFill="1" applyBorder="0" applyAlignment="1">
      <alignment vertical="center" textRotation="0" wrapText="false" shrinkToFit="true"/>
    </xf>
    <xf xfId="0" fontId="8" numFmtId="164" fillId="0" borderId="0" applyFont="1" applyNumberFormat="1" applyFill="0" applyBorder="0" applyAlignment="1">
      <alignment vertical="center" textRotation="0" wrapText="false" shrinkToFit="true"/>
    </xf>
    <xf xfId="0" fontId="8" numFmtId="164" fillId="0" borderId="3" applyFont="1" applyNumberFormat="1" applyFill="0" applyBorder="1" applyAlignment="1">
      <alignment vertical="center" textRotation="0" wrapText="false" shrinkToFit="true"/>
    </xf>
    <xf xfId="0" fontId="1" numFmtId="0" fillId="6" borderId="4" applyFont="1" applyNumberFormat="0" applyFill="1" applyBorder="1" applyAlignment="1">
      <alignment vertical="center" textRotation="0" wrapText="false" shrinkToFit="true"/>
    </xf>
    <xf xfId="0" fontId="9" numFmtId="164" fillId="4" borderId="0" applyFont="1" applyNumberFormat="1" applyFill="1" applyBorder="0" applyAlignment="1">
      <alignment vertical="center" textRotation="0" wrapText="true" shrinkToFit="true"/>
    </xf>
    <xf xfId="0" fontId="8" numFmtId="0" fillId="7" borderId="0" applyFont="1" applyNumberFormat="0" applyFill="1" applyBorder="0" applyAlignment="1">
      <alignment vertical="center" textRotation="0" wrapText="false" shrinkToFit="true"/>
    </xf>
    <xf xfId="0" fontId="2" numFmtId="0" fillId="7" borderId="0" applyFont="1" applyNumberFormat="0" applyFill="1" applyBorder="0" applyAlignment="1">
      <alignment vertical="center" textRotation="0" wrapText="false" shrinkToFit="true"/>
    </xf>
    <xf xfId="0" fontId="2" numFmtId="0" fillId="8" borderId="0" applyFont="1" applyNumberFormat="0" applyFill="1" applyBorder="0" applyAlignment="1">
      <alignment vertical="center" textRotation="0" wrapText="false" shrinkToFit="true"/>
    </xf>
    <xf xfId="0" fontId="2" numFmtId="0" fillId="8" borderId="4" applyFont="1" applyNumberFormat="0" applyFill="1" applyBorder="1" applyAlignment="1">
      <alignment vertical="center" textRotation="0" wrapText="false" shrinkToFit="true"/>
    </xf>
    <xf xfId="0" fontId="10" numFmtId="165" fillId="0" borderId="0" applyFont="1" applyNumberFormat="1" applyFill="0" applyBorder="0" applyAlignment="1">
      <alignment vertical="center" textRotation="0" wrapText="false" shrinkToFit="true"/>
    </xf>
    <xf xfId="0" fontId="1" numFmtId="38" fillId="0" borderId="0" applyFont="1" applyNumberFormat="1" applyFill="0" applyBorder="0" applyAlignment="1">
      <alignment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tabColor rgb="FF00B0F0"/>
    <outlinePr summaryBelow="1" summaryRight="1"/>
  </sheetPr>
  <dimension ref="A1:X1845"/>
  <sheetViews>
    <sheetView tabSelected="1" workbookViewId="0" showGridLines="true" showRowColHeaders="1">
      <pane ySplit="1" topLeftCell="A2" activePane="bottomLeft" state="frozen"/>
      <selection pane="bottomLeft" activeCell="D1799" sqref="D1799"/>
    </sheetView>
  </sheetViews>
  <sheetFormatPr defaultRowHeight="14.4" defaultColWidth="13" outlineLevelRow="0" outlineLevelCol="1"/>
  <cols>
    <col min="1" max="1" width="9.375" customWidth="true" style="9"/>
    <col min="2" max="2" width="7.25" customWidth="true" style="9"/>
    <col min="3" max="3" width="15.125" customWidth="true" style="9"/>
    <col min="4" max="4" width="12.25" customWidth="true" style="10"/>
    <col min="5" max="5" width="9" customWidth="true" outlineLevel="1" style="10"/>
    <col min="6" max="6" width="9" customWidth="true" outlineLevel="1" style="10"/>
    <col min="7" max="7" width="9" customWidth="true" outlineLevel="1" style="10"/>
    <col min="8" max="8" width="9" customWidth="true" outlineLevel="1" style="10"/>
    <col min="9" max="9" width="9" customWidth="true" outlineLevel="1" style="10"/>
    <col min="10" max="10" width="9" customWidth="true" outlineLevel="1" style="10"/>
    <col min="11" max="11" width="9" customWidth="true" outlineLevel="1" style="10"/>
    <col min="12" max="12" width="10.875" customWidth="true" outlineLevel="1" style="10"/>
    <col min="13" max="13" width="15.375" customWidth="true" style="9"/>
    <col min="14" max="14" width="8.625" customWidth="true" style="10"/>
    <col min="15" max="15" width="7.875" customWidth="true" style="9"/>
    <col min="16" max="16" width="41.75" customWidth="true" style="9"/>
    <col min="17" max="17" width="11.625" customWidth="true" style="9"/>
    <col min="18" max="18" width="5.125" customWidth="true" style="9"/>
    <col min="19" max="19" width="9.125" customWidth="true" style="10"/>
    <col min="20" max="20" width="3.625" customWidth="true" style="9"/>
    <col min="21" max="21" width="19.875" customWidth="true" style="9"/>
    <col min="22" max="22" width="39.875" hidden="true" customWidth="true" style="9"/>
    <col min="23" max="23" width="6.375" customWidth="true" style="9"/>
    <col min="24" max="24" width="13" style="9"/>
  </cols>
  <sheetData>
    <row r="1" spans="1:24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6" t="s">
        <v>10</v>
      </c>
      <c r="L1" s="4" t="s">
        <v>11</v>
      </c>
      <c r="M1" s="2" t="s">
        <v>12</v>
      </c>
      <c r="N1" s="7" t="s">
        <v>13</v>
      </c>
      <c r="O1" s="8" t="s">
        <v>14</v>
      </c>
      <c r="P1" s="1" t="s">
        <v>15</v>
      </c>
      <c r="Q1" s="2" t="s">
        <v>16</v>
      </c>
      <c r="R1" s="9" t="s">
        <v>17</v>
      </c>
      <c r="S1" s="10" t="s">
        <v>18</v>
      </c>
      <c r="U1" s="11" t="s">
        <v>12</v>
      </c>
      <c r="V1" s="12" t="s">
        <v>13</v>
      </c>
      <c r="W1" s="11" t="s">
        <v>14</v>
      </c>
      <c r="X1" s="9"/>
    </row>
    <row r="2" spans="1:24">
      <c r="A2" s="13" t="s">
        <v>19</v>
      </c>
      <c r="B2" s="13"/>
      <c r="C2" s="1" t="s">
        <v>20</v>
      </c>
      <c r="D2" s="14">
        <v>32000</v>
      </c>
      <c r="E2" s="15"/>
      <c r="F2" s="15"/>
      <c r="G2" s="16"/>
      <c r="H2" s="15"/>
      <c r="I2" s="15"/>
      <c r="J2" s="15"/>
      <c r="K2" s="17"/>
      <c r="L2" s="15"/>
      <c r="M2" s="18" t="s">
        <v>21</v>
      </c>
      <c r="N2" s="19" t="s">
        <v>22</v>
      </c>
      <c r="O2" s="18" t="s">
        <v>23</v>
      </c>
      <c r="P2" s="1" t="s">
        <v>24</v>
      </c>
      <c r="Q2" s="13" t="s">
        <v>25</v>
      </c>
      <c r="R2" s="9">
        <v>1</v>
      </c>
      <c r="S2" s="10">
        <v>32000</v>
      </c>
      <c r="T2" s="9"/>
      <c r="U2" s="9" t="s">
        <v>1396</v>
      </c>
      <c r="V2" s="9" t="s">
        <v>1396</v>
      </c>
      <c r="W2" s="9"/>
      <c r="X2" s="9"/>
    </row>
    <row r="3" spans="1:24">
      <c r="A3" s="13" t="s">
        <v>19</v>
      </c>
      <c r="B3" s="13"/>
      <c r="C3" s="1" t="s">
        <v>26</v>
      </c>
      <c r="D3" s="14">
        <v>74000</v>
      </c>
      <c r="E3" s="10"/>
      <c r="F3" s="10"/>
      <c r="G3" s="10"/>
      <c r="H3" s="10"/>
      <c r="I3" s="10"/>
      <c r="J3" s="10"/>
      <c r="K3" s="10"/>
      <c r="L3" s="10"/>
      <c r="M3" s="20" t="s">
        <v>21</v>
      </c>
      <c r="N3" s="19" t="s">
        <v>22</v>
      </c>
      <c r="O3" s="18" t="s">
        <v>23</v>
      </c>
      <c r="P3" s="1" t="s">
        <v>27</v>
      </c>
      <c r="Q3" s="13" t="s">
        <v>25</v>
      </c>
      <c r="R3" s="9">
        <v>2</v>
      </c>
      <c r="S3" s="10">
        <v>37000</v>
      </c>
      <c r="T3" s="9"/>
      <c r="U3" s="9" t="s">
        <v>28</v>
      </c>
      <c r="V3" s="9" t="s">
        <v>28</v>
      </c>
      <c r="W3" s="9"/>
      <c r="X3" s="9"/>
    </row>
    <row r="4" spans="1:24">
      <c r="A4" s="13" t="s">
        <v>19</v>
      </c>
      <c r="B4" s="13"/>
      <c r="C4" s="1" t="s">
        <v>29</v>
      </c>
      <c r="D4" s="3">
        <v>5000</v>
      </c>
      <c r="E4" s="10"/>
      <c r="F4" s="10"/>
      <c r="G4" s="10"/>
      <c r="H4" s="10"/>
      <c r="I4" s="10"/>
      <c r="J4" s="10"/>
      <c r="K4" s="10"/>
      <c r="L4" s="10"/>
      <c r="M4" s="20" t="s">
        <v>21</v>
      </c>
      <c r="N4" s="10" t="s">
        <v>22</v>
      </c>
      <c r="O4" s="9" t="s">
        <v>23</v>
      </c>
      <c r="P4" s="1" t="s">
        <v>30</v>
      </c>
      <c r="Q4" s="13" t="s">
        <v>25</v>
      </c>
      <c r="R4" s="9">
        <v>1</v>
      </c>
      <c r="S4" s="10">
        <v>5000</v>
      </c>
      <c r="T4" s="9"/>
      <c r="U4" s="9" t="s">
        <v>31</v>
      </c>
      <c r="V4" s="9" t="s">
        <v>31</v>
      </c>
      <c r="W4" s="9"/>
      <c r="X4" s="9"/>
    </row>
    <row r="5" spans="1:24">
      <c r="A5" s="13" t="s">
        <v>19</v>
      </c>
      <c r="B5" s="13"/>
      <c r="C5" s="1" t="s">
        <v>32</v>
      </c>
      <c r="D5" s="14">
        <v>10000</v>
      </c>
      <c r="E5" s="10"/>
      <c r="F5" s="10"/>
      <c r="G5" s="10"/>
      <c r="H5" s="10"/>
      <c r="I5" s="10"/>
      <c r="J5" s="10"/>
      <c r="K5" s="10"/>
      <c r="L5" s="10"/>
      <c r="M5" s="18" t="s">
        <v>21</v>
      </c>
      <c r="N5" s="10" t="s">
        <v>22</v>
      </c>
      <c r="O5" s="9" t="s">
        <v>23</v>
      </c>
      <c r="P5" s="1" t="s">
        <v>33</v>
      </c>
      <c r="Q5" s="13" t="s">
        <v>25</v>
      </c>
      <c r="R5" s="9">
        <v>2</v>
      </c>
      <c r="S5" s="10">
        <v>5000</v>
      </c>
      <c r="T5" s="9"/>
      <c r="U5" s="9" t="s">
        <v>34</v>
      </c>
      <c r="V5" s="9" t="s">
        <v>34</v>
      </c>
      <c r="W5" s="9"/>
      <c r="X5" s="9"/>
    </row>
    <row r="6" spans="1:24">
      <c r="A6" s="13"/>
      <c r="B6" s="13"/>
      <c r="C6" s="1"/>
      <c r="D6" s="3" t="str">
        <f>SUBTOTAL(9,D2:D5)</f>
        <v>0</v>
      </c>
      <c r="E6" s="10"/>
      <c r="F6" s="10"/>
      <c r="G6" s="10"/>
      <c r="H6" s="10"/>
      <c r="I6" s="10"/>
      <c r="J6" s="10"/>
      <c r="K6" s="10"/>
      <c r="L6" s="10"/>
      <c r="M6" s="18" t="s">
        <v>35</v>
      </c>
      <c r="N6" s="10" t="s">
        <v>1397</v>
      </c>
      <c r="O6" s="9" t="s">
        <v>23</v>
      </c>
      <c r="P6" s="1"/>
      <c r="Q6" s="13"/>
      <c r="R6" s="9"/>
      <c r="S6" s="10"/>
      <c r="T6" s="9"/>
      <c r="U6" s="9" t="s">
        <v>36</v>
      </c>
      <c r="V6" s="9" t="s">
        <v>36</v>
      </c>
      <c r="W6" s="9"/>
      <c r="X6" s="9"/>
    </row>
    <row r="7" spans="1:24">
      <c r="A7" s="13" t="s">
        <v>19</v>
      </c>
      <c r="B7" s="13"/>
      <c r="C7" s="1" t="s">
        <v>20</v>
      </c>
      <c r="D7" s="3">
        <v>128000</v>
      </c>
      <c r="E7" s="10"/>
      <c r="F7" s="10"/>
      <c r="G7" s="10"/>
      <c r="H7" s="10"/>
      <c r="I7" s="10"/>
      <c r="J7" s="10"/>
      <c r="K7" s="10"/>
      <c r="L7" s="10"/>
      <c r="M7" s="18" t="s">
        <v>37</v>
      </c>
      <c r="N7" s="10" t="s">
        <v>1152</v>
      </c>
      <c r="O7" s="9" t="s">
        <v>1395</v>
      </c>
      <c r="P7" s="1" t="s">
        <v>24</v>
      </c>
      <c r="Q7" s="13" t="s">
        <v>25</v>
      </c>
      <c r="R7" s="9">
        <v>4</v>
      </c>
      <c r="S7" s="10">
        <v>32000</v>
      </c>
      <c r="T7" s="9"/>
      <c r="U7" s="9" t="s">
        <v>38</v>
      </c>
      <c r="V7" s="9" t="s">
        <v>38</v>
      </c>
      <c r="W7" s="9"/>
      <c r="X7" s="9"/>
    </row>
    <row r="8" spans="1:24">
      <c r="A8" s="13" t="s">
        <v>19</v>
      </c>
      <c r="B8" s="1"/>
      <c r="C8" s="1" t="s">
        <v>20</v>
      </c>
      <c r="D8" s="3">
        <v>32000</v>
      </c>
      <c r="E8"/>
      <c r="F8"/>
      <c r="G8"/>
      <c r="H8"/>
      <c r="I8"/>
      <c r="J8"/>
      <c r="K8"/>
      <c r="L8"/>
      <c r="M8" s="18" t="s">
        <v>37</v>
      </c>
      <c r="N8" t="s">
        <v>1152</v>
      </c>
      <c r="O8" t="s">
        <v>1395</v>
      </c>
      <c r="P8" s="1" t="s">
        <v>24</v>
      </c>
      <c r="Q8" s="13" t="s">
        <v>25</v>
      </c>
      <c r="R8">
        <v>1</v>
      </c>
      <c r="S8">
        <v>32000</v>
      </c>
      <c r="T8"/>
      <c r="U8" s="9" t="s">
        <v>39</v>
      </c>
      <c r="V8" s="9" t="s">
        <v>39</v>
      </c>
      <c r="W8" s="9"/>
      <c r="X8" s="9"/>
    </row>
    <row r="9" spans="1:24">
      <c r="A9" s="13" t="s">
        <v>19</v>
      </c>
      <c r="B9" s="1"/>
      <c r="C9" s="1" t="s">
        <v>20</v>
      </c>
      <c r="D9" s="3">
        <v>64000</v>
      </c>
      <c r="E9"/>
      <c r="F9"/>
      <c r="G9"/>
      <c r="H9"/>
      <c r="I9"/>
      <c r="J9"/>
      <c r="K9"/>
      <c r="L9"/>
      <c r="M9" s="18" t="s">
        <v>37</v>
      </c>
      <c r="N9" t="s">
        <v>1152</v>
      </c>
      <c r="O9" t="s">
        <v>1395</v>
      </c>
      <c r="P9" s="1" t="s">
        <v>24</v>
      </c>
      <c r="Q9" s="13" t="s">
        <v>25</v>
      </c>
      <c r="R9">
        <v>2</v>
      </c>
      <c r="S9">
        <v>32000</v>
      </c>
      <c r="T9"/>
      <c r="U9" s="9" t="s">
        <v>1020</v>
      </c>
      <c r="V9" s="9" t="s">
        <v>1020</v>
      </c>
      <c r="W9" s="9"/>
      <c r="X9" s="9"/>
    </row>
    <row r="10" spans="1:24">
      <c r="A10" s="13" t="s">
        <v>19</v>
      </c>
      <c r="B10" s="1"/>
      <c r="C10" s="1" t="s">
        <v>29</v>
      </c>
      <c r="D10" s="3">
        <v>20000</v>
      </c>
      <c r="E10"/>
      <c r="F10"/>
      <c r="G10"/>
      <c r="H10"/>
      <c r="I10"/>
      <c r="J10"/>
      <c r="K10"/>
      <c r="L10"/>
      <c r="M10" s="18" t="s">
        <v>37</v>
      </c>
      <c r="N10" t="s">
        <v>1152</v>
      </c>
      <c r="O10" t="s">
        <v>1395</v>
      </c>
      <c r="P10" s="1" t="s">
        <v>30</v>
      </c>
      <c r="Q10" s="13" t="s">
        <v>25</v>
      </c>
      <c r="R10">
        <v>4</v>
      </c>
      <c r="S10">
        <v>5000</v>
      </c>
      <c r="T10"/>
      <c r="U10" s="9" t="s">
        <v>1021</v>
      </c>
      <c r="V10" s="9" t="s">
        <v>1021</v>
      </c>
      <c r="W10" s="9"/>
      <c r="X10" s="9"/>
    </row>
    <row r="11" spans="1:24">
      <c r="A11" s="13" t="s">
        <v>19</v>
      </c>
      <c r="B11" s="1"/>
      <c r="C11" s="1" t="s">
        <v>29</v>
      </c>
      <c r="D11" s="3">
        <v>5000</v>
      </c>
      <c r="E11"/>
      <c r="F11"/>
      <c r="G11"/>
      <c r="H11"/>
      <c r="I11"/>
      <c r="J11"/>
      <c r="K11"/>
      <c r="L11"/>
      <c r="M11" s="18" t="s">
        <v>37</v>
      </c>
      <c r="N11" t="s">
        <v>1152</v>
      </c>
      <c r="O11" t="s">
        <v>1395</v>
      </c>
      <c r="P11" s="1" t="s">
        <v>30</v>
      </c>
      <c r="Q11" s="13" t="s">
        <v>25</v>
      </c>
      <c r="R11">
        <v>1</v>
      </c>
      <c r="S11">
        <v>5000</v>
      </c>
      <c r="T11"/>
      <c r="U11" s="9" t="s">
        <v>1022</v>
      </c>
      <c r="V11" s="9" t="s">
        <v>1022</v>
      </c>
      <c r="W11" s="9"/>
      <c r="X11" s="9"/>
    </row>
    <row r="12" spans="1:24">
      <c r="A12" s="13" t="s">
        <v>19</v>
      </c>
      <c r="B12" s="1"/>
      <c r="C12" s="1" t="s">
        <v>29</v>
      </c>
      <c r="D12" s="3">
        <v>10000</v>
      </c>
      <c r="E12"/>
      <c r="F12"/>
      <c r="G12"/>
      <c r="H12"/>
      <c r="I12"/>
      <c r="J12"/>
      <c r="K12"/>
      <c r="L12"/>
      <c r="M12" s="18" t="s">
        <v>37</v>
      </c>
      <c r="N12" t="s">
        <v>1152</v>
      </c>
      <c r="O12" t="s">
        <v>1395</v>
      </c>
      <c r="P12" s="1" t="s">
        <v>30</v>
      </c>
      <c r="Q12" s="13" t="s">
        <v>25</v>
      </c>
      <c r="R12">
        <v>2</v>
      </c>
      <c r="S12">
        <v>5000</v>
      </c>
      <c r="T12"/>
      <c r="U12" s="9" t="s">
        <v>1023</v>
      </c>
      <c r="V12" s="9" t="s">
        <v>1023</v>
      </c>
      <c r="W12" s="9"/>
      <c r="X12" s="9"/>
    </row>
    <row r="13" spans="1:24">
      <c r="A13" s="13"/>
      <c r="B13" s="1"/>
      <c r="C13" s="1"/>
      <c r="D13" s="3" t="str">
        <f>SUBTOTAL(9,D7:D12)</f>
        <v>0</v>
      </c>
      <c r="E13"/>
      <c r="F13"/>
      <c r="G13"/>
      <c r="H13"/>
      <c r="I13"/>
      <c r="J13"/>
      <c r="K13"/>
      <c r="L13"/>
      <c r="M13" s="18" t="s">
        <v>104</v>
      </c>
      <c r="N13" t="s">
        <v>1398</v>
      </c>
      <c r="O13" t="s">
        <v>1395</v>
      </c>
      <c r="P13" s="1"/>
      <c r="Q13" s="13"/>
      <c r="R13"/>
      <c r="S13"/>
      <c r="T13"/>
      <c r="U13" s="9" t="s">
        <v>1024</v>
      </c>
      <c r="V13" s="9" t="s">
        <v>1024</v>
      </c>
      <c r="W13" s="9"/>
      <c r="X13" s="9"/>
    </row>
    <row r="14" spans="1:24">
      <c r="A14" s="13" t="s">
        <v>19</v>
      </c>
      <c r="B14" s="1"/>
      <c r="C14" s="1" t="s">
        <v>20</v>
      </c>
      <c r="D14" s="3">
        <v>32000</v>
      </c>
      <c r="E14"/>
      <c r="F14"/>
      <c r="G14"/>
      <c r="H14"/>
      <c r="I14"/>
      <c r="J14"/>
      <c r="K14"/>
      <c r="L14"/>
      <c r="M14" s="18" t="s">
        <v>105</v>
      </c>
      <c r="N14" t="s">
        <v>1151</v>
      </c>
      <c r="O14" t="s">
        <v>96</v>
      </c>
      <c r="P14" s="1" t="s">
        <v>490</v>
      </c>
      <c r="Q14" s="13" t="s">
        <v>25</v>
      </c>
      <c r="R14">
        <v>1</v>
      </c>
      <c r="S14">
        <v>32000</v>
      </c>
      <c r="T14"/>
      <c r="U14" s="9" t="s">
        <v>1025</v>
      </c>
      <c r="V14" s="9" t="s">
        <v>1025</v>
      </c>
      <c r="W14" s="9"/>
      <c r="X14" s="9"/>
    </row>
    <row r="15" spans="1:24">
      <c r="A15" s="13" t="s">
        <v>19</v>
      </c>
      <c r="B15" s="1"/>
      <c r="C15" s="1" t="s">
        <v>20</v>
      </c>
      <c r="D15" s="3">
        <v>64000</v>
      </c>
      <c r="E15"/>
      <c r="F15"/>
      <c r="G15"/>
      <c r="H15"/>
      <c r="I15"/>
      <c r="J15"/>
      <c r="K15"/>
      <c r="L15"/>
      <c r="M15" s="18" t="s">
        <v>105</v>
      </c>
      <c r="N15" t="s">
        <v>1151</v>
      </c>
      <c r="O15" t="s">
        <v>96</v>
      </c>
      <c r="P15" s="1" t="s">
        <v>491</v>
      </c>
      <c r="Q15" s="13" t="s">
        <v>25</v>
      </c>
      <c r="R15">
        <v>2</v>
      </c>
      <c r="S15">
        <v>32000</v>
      </c>
      <c r="T15"/>
      <c r="U15" s="9" t="s">
        <v>1026</v>
      </c>
      <c r="V15" s="9" t="s">
        <v>1026</v>
      </c>
      <c r="W15" s="9"/>
      <c r="X15" s="9"/>
    </row>
    <row r="16" spans="1:24">
      <c r="A16" s="13" t="s">
        <v>19</v>
      </c>
      <c r="B16" s="1"/>
      <c r="C16" s="1" t="s">
        <v>29</v>
      </c>
      <c r="D16" s="3">
        <v>5000</v>
      </c>
      <c r="E16"/>
      <c r="F16"/>
      <c r="G16"/>
      <c r="H16"/>
      <c r="I16"/>
      <c r="J16"/>
      <c r="K16"/>
      <c r="L16"/>
      <c r="M16" s="18" t="s">
        <v>105</v>
      </c>
      <c r="N16" t="s">
        <v>1151</v>
      </c>
      <c r="O16" t="s">
        <v>96</v>
      </c>
      <c r="P16" s="1" t="s">
        <v>492</v>
      </c>
      <c r="Q16" s="13" t="s">
        <v>25</v>
      </c>
      <c r="R16">
        <v>1</v>
      </c>
      <c r="S16">
        <v>5000</v>
      </c>
      <c r="T16"/>
      <c r="U16" s="9" t="s">
        <v>1027</v>
      </c>
      <c r="V16" s="9" t="s">
        <v>1027</v>
      </c>
      <c r="W16" s="9"/>
      <c r="X16" s="9"/>
    </row>
    <row r="17" spans="1:24">
      <c r="A17" s="13" t="s">
        <v>19</v>
      </c>
      <c r="B17" s="1"/>
      <c r="C17" s="1" t="s">
        <v>29</v>
      </c>
      <c r="D17" s="3">
        <v>10000</v>
      </c>
      <c r="E17"/>
      <c r="F17"/>
      <c r="G17"/>
      <c r="H17"/>
      <c r="I17"/>
      <c r="J17"/>
      <c r="K17"/>
      <c r="L17"/>
      <c r="M17" s="18" t="s">
        <v>105</v>
      </c>
      <c r="N17" t="s">
        <v>1151</v>
      </c>
      <c r="O17" t="s">
        <v>96</v>
      </c>
      <c r="P17" s="1" t="s">
        <v>493</v>
      </c>
      <c r="Q17" s="13" t="s">
        <v>25</v>
      </c>
      <c r="R17">
        <v>2</v>
      </c>
      <c r="S17">
        <v>5000</v>
      </c>
      <c r="T17"/>
      <c r="U17" s="9" t="s">
        <v>1028</v>
      </c>
      <c r="V17" s="9" t="s">
        <v>1028</v>
      </c>
      <c r="W17" s="9"/>
      <c r="X17" s="9"/>
    </row>
    <row r="18" spans="1:24">
      <c r="A18" s="13"/>
      <c r="B18" s="1"/>
      <c r="C18" s="1"/>
      <c r="D18" s="3" t="str">
        <f>SUBTOTAL(9,D14:D17)</f>
        <v>0</v>
      </c>
      <c r="E18"/>
      <c r="F18"/>
      <c r="G18"/>
      <c r="H18"/>
      <c r="I18"/>
      <c r="J18"/>
      <c r="K18"/>
      <c r="L18"/>
      <c r="M18" s="18" t="s">
        <v>106</v>
      </c>
      <c r="N18" t="s">
        <v>1399</v>
      </c>
      <c r="O18" t="s">
        <v>96</v>
      </c>
      <c r="P18" s="1"/>
      <c r="Q18" s="13"/>
      <c r="R18"/>
      <c r="S18"/>
      <c r="T18"/>
      <c r="U18" s="9" t="s">
        <v>1029</v>
      </c>
      <c r="V18" s="9" t="s">
        <v>1029</v>
      </c>
      <c r="W18" s="9"/>
      <c r="X18" s="9"/>
    </row>
    <row r="19" spans="1:24">
      <c r="A19" s="13" t="s">
        <v>19</v>
      </c>
      <c r="B19" s="1"/>
      <c r="C19" s="1" t="s">
        <v>20</v>
      </c>
      <c r="D19" s="3">
        <v>32000</v>
      </c>
      <c r="E19"/>
      <c r="F19"/>
      <c r="G19"/>
      <c r="H19"/>
      <c r="I19"/>
      <c r="J19"/>
      <c r="K19"/>
      <c r="L19"/>
      <c r="M19" s="18" t="s">
        <v>107</v>
      </c>
      <c r="N19" t="s">
        <v>1127</v>
      </c>
      <c r="O19" t="s">
        <v>96</v>
      </c>
      <c r="P19" s="1" t="s">
        <v>494</v>
      </c>
      <c r="Q19" s="13" t="s">
        <v>1018</v>
      </c>
      <c r="R19">
        <v>1</v>
      </c>
      <c r="S19">
        <v>32000</v>
      </c>
      <c r="T19"/>
      <c r="U19" s="9" t="s">
        <v>1030</v>
      </c>
      <c r="V19" s="9" t="s">
        <v>1030</v>
      </c>
      <c r="W19" s="9"/>
      <c r="X19" s="9"/>
    </row>
    <row r="20" spans="1:24">
      <c r="A20" s="13" t="s">
        <v>19</v>
      </c>
      <c r="B20" s="1"/>
      <c r="C20" s="1" t="s">
        <v>20</v>
      </c>
      <c r="D20" s="3">
        <v>32000</v>
      </c>
      <c r="E20"/>
      <c r="F20"/>
      <c r="G20"/>
      <c r="H20"/>
      <c r="I20"/>
      <c r="J20"/>
      <c r="K20"/>
      <c r="L20"/>
      <c r="M20" s="18" t="s">
        <v>107</v>
      </c>
      <c r="N20" t="s">
        <v>1127</v>
      </c>
      <c r="O20" t="s">
        <v>96</v>
      </c>
      <c r="P20" s="1" t="s">
        <v>495</v>
      </c>
      <c r="Q20" s="13" t="s">
        <v>1018</v>
      </c>
      <c r="R20">
        <v>1</v>
      </c>
      <c r="S20">
        <v>32000</v>
      </c>
      <c r="T20"/>
      <c r="U20" s="9" t="s">
        <v>1031</v>
      </c>
      <c r="V20" s="9" t="s">
        <v>1031</v>
      </c>
      <c r="W20" s="9"/>
      <c r="X20" s="9"/>
    </row>
    <row r="21" spans="1:24">
      <c r="A21" s="13" t="s">
        <v>19</v>
      </c>
      <c r="B21" s="1"/>
      <c r="C21" s="1" t="s">
        <v>20</v>
      </c>
      <c r="D21" s="3">
        <v>64000</v>
      </c>
      <c r="E21"/>
      <c r="F21"/>
      <c r="G21"/>
      <c r="H21"/>
      <c r="I21"/>
      <c r="J21"/>
      <c r="K21"/>
      <c r="L21"/>
      <c r="M21" s="18" t="s">
        <v>107</v>
      </c>
      <c r="N21" t="s">
        <v>1127</v>
      </c>
      <c r="O21" t="s">
        <v>96</v>
      </c>
      <c r="P21" s="1" t="s">
        <v>496</v>
      </c>
      <c r="Q21" s="13" t="s">
        <v>1018</v>
      </c>
      <c r="R21">
        <v>2</v>
      </c>
      <c r="S21">
        <v>32000</v>
      </c>
      <c r="T21"/>
      <c r="U21" s="9" t="s">
        <v>1032</v>
      </c>
      <c r="V21" s="9" t="s">
        <v>1032</v>
      </c>
      <c r="W21" s="9"/>
      <c r="X21" s="9"/>
    </row>
    <row r="22" spans="1:24">
      <c r="A22" s="13" t="s">
        <v>19</v>
      </c>
      <c r="B22" s="1"/>
      <c r="C22" s="1" t="s">
        <v>20</v>
      </c>
      <c r="D22" s="3">
        <v>64000</v>
      </c>
      <c r="E22"/>
      <c r="F22"/>
      <c r="G22"/>
      <c r="H22"/>
      <c r="I22"/>
      <c r="J22"/>
      <c r="K22"/>
      <c r="L22"/>
      <c r="M22" s="18" t="s">
        <v>107</v>
      </c>
      <c r="N22" t="s">
        <v>1127</v>
      </c>
      <c r="O22" t="s">
        <v>96</v>
      </c>
      <c r="P22" s="1" t="s">
        <v>497</v>
      </c>
      <c r="Q22" s="13" t="s">
        <v>1018</v>
      </c>
      <c r="R22">
        <v>2</v>
      </c>
      <c r="S22">
        <v>32000</v>
      </c>
      <c r="T22"/>
      <c r="U22" s="9" t="s">
        <v>1033</v>
      </c>
      <c r="V22" s="9" t="s">
        <v>1033</v>
      </c>
      <c r="W22" s="9"/>
      <c r="X22" s="9"/>
    </row>
    <row r="23" spans="1:24">
      <c r="A23" s="13" t="s">
        <v>19</v>
      </c>
      <c r="B23" s="1"/>
      <c r="C23" s="1" t="s">
        <v>29</v>
      </c>
      <c r="D23" s="3">
        <v>5000</v>
      </c>
      <c r="E23"/>
      <c r="F23"/>
      <c r="G23"/>
      <c r="H23"/>
      <c r="I23"/>
      <c r="J23"/>
      <c r="K23"/>
      <c r="L23"/>
      <c r="M23" s="18" t="s">
        <v>107</v>
      </c>
      <c r="N23" t="s">
        <v>1127</v>
      </c>
      <c r="O23" t="s">
        <v>96</v>
      </c>
      <c r="P23" s="1" t="s">
        <v>498</v>
      </c>
      <c r="Q23" s="13" t="s">
        <v>1018</v>
      </c>
      <c r="R23">
        <v>1</v>
      </c>
      <c r="S23">
        <v>5000</v>
      </c>
      <c r="T23"/>
      <c r="U23" s="9" t="s">
        <v>1034</v>
      </c>
      <c r="V23" s="9" t="s">
        <v>1034</v>
      </c>
      <c r="W23" s="9"/>
      <c r="X23" s="9"/>
    </row>
    <row r="24" spans="1:24">
      <c r="A24" s="13" t="s">
        <v>19</v>
      </c>
      <c r="B24" s="1"/>
      <c r="C24" s="1" t="s">
        <v>29</v>
      </c>
      <c r="D24" s="3">
        <v>5000</v>
      </c>
      <c r="E24"/>
      <c r="F24"/>
      <c r="G24"/>
      <c r="H24"/>
      <c r="I24"/>
      <c r="J24"/>
      <c r="K24"/>
      <c r="L24"/>
      <c r="M24" s="18" t="s">
        <v>107</v>
      </c>
      <c r="N24" t="s">
        <v>1127</v>
      </c>
      <c r="O24" t="s">
        <v>96</v>
      </c>
      <c r="P24" s="1" t="s">
        <v>499</v>
      </c>
      <c r="Q24" s="13" t="s">
        <v>1018</v>
      </c>
      <c r="R24">
        <v>1</v>
      </c>
      <c r="S24">
        <v>5000</v>
      </c>
      <c r="T24"/>
      <c r="U24" s="9" t="s">
        <v>1035</v>
      </c>
      <c r="V24" s="9" t="s">
        <v>1035</v>
      </c>
      <c r="W24" s="9"/>
      <c r="X24" s="9"/>
    </row>
    <row r="25" spans="1:24">
      <c r="A25" s="13" t="s">
        <v>19</v>
      </c>
      <c r="B25" s="1"/>
      <c r="C25" s="1" t="s">
        <v>29</v>
      </c>
      <c r="D25" s="3">
        <v>10000</v>
      </c>
      <c r="E25"/>
      <c r="F25"/>
      <c r="G25"/>
      <c r="H25"/>
      <c r="I25"/>
      <c r="J25"/>
      <c r="K25"/>
      <c r="L25"/>
      <c r="M25" s="18" t="s">
        <v>107</v>
      </c>
      <c r="N25" t="s">
        <v>1127</v>
      </c>
      <c r="O25" t="s">
        <v>96</v>
      </c>
      <c r="P25" s="1" t="s">
        <v>500</v>
      </c>
      <c r="Q25" s="13" t="s">
        <v>1018</v>
      </c>
      <c r="R25">
        <v>2</v>
      </c>
      <c r="S25">
        <v>5000</v>
      </c>
      <c r="T25"/>
      <c r="U25" s="9" t="s">
        <v>1036</v>
      </c>
      <c r="V25" s="9" t="s">
        <v>1036</v>
      </c>
      <c r="W25" s="9"/>
      <c r="X25" s="9"/>
    </row>
    <row r="26" spans="1:24">
      <c r="A26" s="13" t="s">
        <v>19</v>
      </c>
      <c r="B26" s="1"/>
      <c r="C26" s="1" t="s">
        <v>29</v>
      </c>
      <c r="D26" s="3">
        <v>10000</v>
      </c>
      <c r="E26"/>
      <c r="F26"/>
      <c r="G26"/>
      <c r="H26"/>
      <c r="I26"/>
      <c r="J26"/>
      <c r="K26"/>
      <c r="L26"/>
      <c r="M26" s="18" t="s">
        <v>107</v>
      </c>
      <c r="N26" t="s">
        <v>1127</v>
      </c>
      <c r="O26" t="s">
        <v>96</v>
      </c>
      <c r="P26" s="1" t="s">
        <v>501</v>
      </c>
      <c r="Q26" s="13" t="s">
        <v>1018</v>
      </c>
      <c r="R26">
        <v>2</v>
      </c>
      <c r="S26">
        <v>5000</v>
      </c>
      <c r="T26"/>
      <c r="U26" s="9" t="s">
        <v>1037</v>
      </c>
      <c r="V26" s="9" t="s">
        <v>1037</v>
      </c>
      <c r="W26" s="9"/>
      <c r="X26" s="9"/>
    </row>
    <row r="27" spans="1:24">
      <c r="A27" s="13"/>
      <c r="B27" s="1"/>
      <c r="C27" s="1"/>
      <c r="D27" s="3" t="str">
        <f>SUBTOTAL(9,D19:D26)</f>
        <v>0</v>
      </c>
      <c r="E27"/>
      <c r="F27"/>
      <c r="G27"/>
      <c r="H27"/>
      <c r="I27"/>
      <c r="J27"/>
      <c r="K27"/>
      <c r="L27"/>
      <c r="M27" s="18" t="s">
        <v>108</v>
      </c>
      <c r="N27" t="s">
        <v>1400</v>
      </c>
      <c r="O27" t="s">
        <v>96</v>
      </c>
      <c r="P27" s="1"/>
      <c r="Q27" s="13"/>
      <c r="R27"/>
      <c r="S27"/>
      <c r="T27"/>
      <c r="U27" s="9" t="s">
        <v>1038</v>
      </c>
      <c r="V27" s="9" t="s">
        <v>1038</v>
      </c>
      <c r="W27" s="9"/>
      <c r="X27" s="9"/>
    </row>
    <row r="28" spans="1:24">
      <c r="A28" s="13" t="s">
        <v>19</v>
      </c>
      <c r="B28" s="1"/>
      <c r="C28" s="1" t="s">
        <v>20</v>
      </c>
      <c r="D28" s="3">
        <v>64000</v>
      </c>
      <c r="E28"/>
      <c r="F28"/>
      <c r="G28"/>
      <c r="H28"/>
      <c r="I28"/>
      <c r="J28"/>
      <c r="K28"/>
      <c r="L28"/>
      <c r="M28" s="18" t="s">
        <v>109</v>
      </c>
      <c r="N28" t="s">
        <v>1126</v>
      </c>
      <c r="O28" t="s">
        <v>96</v>
      </c>
      <c r="P28" s="1" t="s">
        <v>502</v>
      </c>
      <c r="Q28" s="13" t="s">
        <v>1018</v>
      </c>
      <c r="R28">
        <v>2</v>
      </c>
      <c r="S28">
        <v>32000</v>
      </c>
      <c r="T28"/>
      <c r="U28" s="9" t="s">
        <v>1039</v>
      </c>
      <c r="V28" s="9" t="s">
        <v>1039</v>
      </c>
      <c r="W28" s="9"/>
      <c r="X28" s="9"/>
    </row>
    <row r="29" spans="1:24">
      <c r="A29" s="13" t="s">
        <v>19</v>
      </c>
      <c r="B29" s="1"/>
      <c r="C29" s="1" t="s">
        <v>29</v>
      </c>
      <c r="D29" s="3">
        <v>10000</v>
      </c>
      <c r="E29"/>
      <c r="F29"/>
      <c r="G29"/>
      <c r="H29"/>
      <c r="I29"/>
      <c r="J29"/>
      <c r="K29"/>
      <c r="L29"/>
      <c r="M29" s="18" t="s">
        <v>109</v>
      </c>
      <c r="N29" t="s">
        <v>1126</v>
      </c>
      <c r="O29" t="s">
        <v>96</v>
      </c>
      <c r="P29" s="1" t="s">
        <v>503</v>
      </c>
      <c r="Q29" s="13" t="s">
        <v>1018</v>
      </c>
      <c r="R29">
        <v>2</v>
      </c>
      <c r="S29">
        <v>5000</v>
      </c>
      <c r="T29"/>
      <c r="U29" s="9" t="s">
        <v>109</v>
      </c>
      <c r="V29" s="9" t="s">
        <v>1126</v>
      </c>
      <c r="W29" s="9" t="s">
        <v>96</v>
      </c>
      <c r="X29" s="9"/>
    </row>
    <row r="30" spans="1:24">
      <c r="A30" s="13"/>
      <c r="B30" s="1"/>
      <c r="C30" s="1"/>
      <c r="D30" s="3" t="str">
        <f>SUBTOTAL(9,D28:D29)</f>
        <v>0</v>
      </c>
      <c r="E30"/>
      <c r="F30"/>
      <c r="G30"/>
      <c r="H30"/>
      <c r="I30"/>
      <c r="J30"/>
      <c r="K30"/>
      <c r="L30"/>
      <c r="M30" s="18" t="s">
        <v>110</v>
      </c>
      <c r="N30" t="s">
        <v>1401</v>
      </c>
      <c r="O30" t="s">
        <v>96</v>
      </c>
      <c r="P30" s="1"/>
      <c r="Q30" s="13"/>
      <c r="R30"/>
      <c r="S30"/>
      <c r="T30"/>
      <c r="U30" s="9" t="s">
        <v>107</v>
      </c>
      <c r="V30" s="9" t="s">
        <v>1127</v>
      </c>
      <c r="W30" s="9" t="s">
        <v>96</v>
      </c>
      <c r="X30" s="9"/>
    </row>
    <row r="31" spans="1:24">
      <c r="A31" s="13" t="s">
        <v>19</v>
      </c>
      <c r="B31" s="1"/>
      <c r="C31" s="1" t="s">
        <v>20</v>
      </c>
      <c r="D31" s="3">
        <v>40000</v>
      </c>
      <c r="E31"/>
      <c r="F31"/>
      <c r="G31"/>
      <c r="H31"/>
      <c r="I31"/>
      <c r="J31"/>
      <c r="K31"/>
      <c r="L31"/>
      <c r="M31" s="18" t="s">
        <v>111</v>
      </c>
      <c r="N31" t="s">
        <v>1149</v>
      </c>
      <c r="O31" t="s">
        <v>96</v>
      </c>
      <c r="P31" s="1" t="s">
        <v>24</v>
      </c>
      <c r="Q31" s="13" t="s">
        <v>25</v>
      </c>
      <c r="R31">
        <v>2</v>
      </c>
      <c r="S31">
        <v>20000</v>
      </c>
      <c r="T31"/>
      <c r="U31" s="9" t="s">
        <v>1040</v>
      </c>
      <c r="V31" s="9" t="s">
        <v>1128</v>
      </c>
      <c r="W31" s="9"/>
      <c r="X31" s="9"/>
    </row>
    <row r="32" spans="1:24">
      <c r="A32" s="13" t="s">
        <v>19</v>
      </c>
      <c r="B32" s="1"/>
      <c r="C32" s="1" t="s">
        <v>20</v>
      </c>
      <c r="D32" s="3">
        <v>40000</v>
      </c>
      <c r="E32"/>
      <c r="F32"/>
      <c r="G32"/>
      <c r="H32"/>
      <c r="I32"/>
      <c r="J32"/>
      <c r="K32"/>
      <c r="L32"/>
      <c r="M32" s="18" t="s">
        <v>111</v>
      </c>
      <c r="N32" t="s">
        <v>1149</v>
      </c>
      <c r="O32" t="s">
        <v>96</v>
      </c>
      <c r="P32" s="1" t="s">
        <v>24</v>
      </c>
      <c r="Q32" s="13" t="s">
        <v>25</v>
      </c>
      <c r="R32">
        <v>2</v>
      </c>
      <c r="S32">
        <v>20000</v>
      </c>
      <c r="T32"/>
      <c r="U32" s="9" t="s">
        <v>455</v>
      </c>
      <c r="V32" s="9" t="s">
        <v>1129</v>
      </c>
      <c r="W32" s="9" t="s">
        <v>98</v>
      </c>
      <c r="X32" s="9"/>
    </row>
    <row r="33" spans="1:24">
      <c r="A33" s="13" t="s">
        <v>19</v>
      </c>
      <c r="B33" s="1"/>
      <c r="C33" s="1" t="s">
        <v>20</v>
      </c>
      <c r="D33" s="3">
        <v>40000</v>
      </c>
      <c r="E33"/>
      <c r="F33"/>
      <c r="G33"/>
      <c r="H33"/>
      <c r="I33"/>
      <c r="J33"/>
      <c r="K33"/>
      <c r="L33"/>
      <c r="M33" s="18" t="s">
        <v>111</v>
      </c>
      <c r="N33" t="s">
        <v>1149</v>
      </c>
      <c r="O33" t="s">
        <v>96</v>
      </c>
      <c r="P33" s="1" t="s">
        <v>24</v>
      </c>
      <c r="Q33" s="13" t="s">
        <v>25</v>
      </c>
      <c r="R33">
        <v>2</v>
      </c>
      <c r="S33">
        <v>20000</v>
      </c>
      <c r="T33"/>
      <c r="U33" s="9" t="s">
        <v>417</v>
      </c>
      <c r="V33" s="9" t="s">
        <v>1130</v>
      </c>
      <c r="W33" s="9" t="s">
        <v>1395</v>
      </c>
      <c r="X33" s="9"/>
    </row>
    <row r="34" spans="1:24">
      <c r="A34" s="13" t="s">
        <v>19</v>
      </c>
      <c r="B34" s="1"/>
      <c r="C34" s="1" t="s">
        <v>29</v>
      </c>
      <c r="D34" s="3">
        <v>10000</v>
      </c>
      <c r="E34"/>
      <c r="F34"/>
      <c r="G34"/>
      <c r="H34"/>
      <c r="I34"/>
      <c r="J34"/>
      <c r="K34"/>
      <c r="L34"/>
      <c r="M34" s="18" t="s">
        <v>111</v>
      </c>
      <c r="N34" t="s">
        <v>1149</v>
      </c>
      <c r="O34" t="s">
        <v>96</v>
      </c>
      <c r="P34" s="1" t="s">
        <v>30</v>
      </c>
      <c r="Q34" s="13" t="s">
        <v>25</v>
      </c>
      <c r="R34">
        <v>2</v>
      </c>
      <c r="S34">
        <v>5000</v>
      </c>
      <c r="T34"/>
      <c r="U34" s="9" t="s">
        <v>1041</v>
      </c>
      <c r="V34" s="9" t="s">
        <v>1131</v>
      </c>
      <c r="W34" s="9" t="s">
        <v>1395</v>
      </c>
      <c r="X34" s="9"/>
    </row>
    <row r="35" spans="1:24">
      <c r="A35" s="13" t="s">
        <v>19</v>
      </c>
      <c r="B35" s="1"/>
      <c r="C35" s="1" t="s">
        <v>29</v>
      </c>
      <c r="D35" s="3">
        <v>10000</v>
      </c>
      <c r="E35"/>
      <c r="F35"/>
      <c r="G35"/>
      <c r="H35"/>
      <c r="I35"/>
      <c r="J35"/>
      <c r="K35"/>
      <c r="L35"/>
      <c r="M35" s="18" t="s">
        <v>111</v>
      </c>
      <c r="N35" t="s">
        <v>1149</v>
      </c>
      <c r="O35" t="s">
        <v>96</v>
      </c>
      <c r="P35" s="1" t="s">
        <v>30</v>
      </c>
      <c r="Q35" s="13" t="s">
        <v>25</v>
      </c>
      <c r="R35">
        <v>2</v>
      </c>
      <c r="S35">
        <v>5000</v>
      </c>
      <c r="T35"/>
      <c r="U35" s="9" t="s">
        <v>1042</v>
      </c>
      <c r="V35" s="9" t="s">
        <v>1132</v>
      </c>
      <c r="W35" s="9" t="s">
        <v>1395</v>
      </c>
      <c r="X35" s="9"/>
    </row>
    <row r="36" spans="1:24">
      <c r="A36" s="13" t="s">
        <v>19</v>
      </c>
      <c r="B36" s="1"/>
      <c r="C36" s="1" t="s">
        <v>29</v>
      </c>
      <c r="D36" s="3">
        <v>10000</v>
      </c>
      <c r="E36"/>
      <c r="F36"/>
      <c r="G36"/>
      <c r="H36"/>
      <c r="I36"/>
      <c r="J36"/>
      <c r="K36"/>
      <c r="L36"/>
      <c r="M36" s="18" t="s">
        <v>111</v>
      </c>
      <c r="N36" t="s">
        <v>1149</v>
      </c>
      <c r="O36" t="s">
        <v>96</v>
      </c>
      <c r="P36" s="1" t="s">
        <v>30</v>
      </c>
      <c r="Q36" s="13" t="s">
        <v>25</v>
      </c>
      <c r="R36">
        <v>2</v>
      </c>
      <c r="S36">
        <v>5000</v>
      </c>
      <c r="T36"/>
      <c r="U36" s="9" t="s">
        <v>247</v>
      </c>
      <c r="V36" s="9" t="s">
        <v>1133</v>
      </c>
      <c r="W36" s="9" t="s">
        <v>1395</v>
      </c>
      <c r="X36" s="9"/>
    </row>
    <row r="37" spans="1:24">
      <c r="A37" s="13"/>
      <c r="B37" s="1"/>
      <c r="C37" s="1"/>
      <c r="D37" s="3" t="str">
        <f>SUBTOTAL(9,D31:D36)</f>
        <v>0</v>
      </c>
      <c r="E37"/>
      <c r="F37"/>
      <c r="G37"/>
      <c r="H37"/>
      <c r="I37"/>
      <c r="J37"/>
      <c r="K37"/>
      <c r="L37"/>
      <c r="M37" s="18" t="s">
        <v>112</v>
      </c>
      <c r="N37" t="s">
        <v>1402</v>
      </c>
      <c r="O37" t="s">
        <v>96</v>
      </c>
      <c r="P37" s="1"/>
      <c r="Q37" s="13"/>
      <c r="R37"/>
      <c r="S37"/>
      <c r="T37"/>
      <c r="U37" s="9" t="s">
        <v>1043</v>
      </c>
      <c r="V37" s="9" t="s">
        <v>1134</v>
      </c>
      <c r="W37" s="9"/>
      <c r="X37" s="9"/>
    </row>
    <row r="38" spans="1:24">
      <c r="A38" s="13" t="s">
        <v>19</v>
      </c>
      <c r="B38" s="1"/>
      <c r="C38" s="1" t="s">
        <v>20</v>
      </c>
      <c r="D38" s="3">
        <v>192000</v>
      </c>
      <c r="E38"/>
      <c r="F38"/>
      <c r="G38"/>
      <c r="H38"/>
      <c r="I38"/>
      <c r="J38"/>
      <c r="K38"/>
      <c r="L38"/>
      <c r="M38" s="18" t="s">
        <v>113</v>
      </c>
      <c r="N38" t="s">
        <v>1154</v>
      </c>
      <c r="O38" t="s">
        <v>1395</v>
      </c>
      <c r="P38" s="1" t="s">
        <v>504</v>
      </c>
      <c r="Q38" s="13" t="s">
        <v>25</v>
      </c>
      <c r="R38">
        <v>6</v>
      </c>
      <c r="S38">
        <v>32000</v>
      </c>
      <c r="T38"/>
      <c r="U38" s="9" t="s">
        <v>1044</v>
      </c>
      <c r="V38" s="9" t="s">
        <v>1135</v>
      </c>
      <c r="W38" s="9"/>
      <c r="X38" s="9"/>
    </row>
    <row r="39" spans="1:24">
      <c r="A39" s="13" t="s">
        <v>19</v>
      </c>
      <c r="B39" s="1"/>
      <c r="C39" s="1" t="s">
        <v>20</v>
      </c>
      <c r="D39" s="3">
        <v>32000</v>
      </c>
      <c r="E39"/>
      <c r="F39"/>
      <c r="G39"/>
      <c r="H39"/>
      <c r="I39"/>
      <c r="J39"/>
      <c r="K39"/>
      <c r="L39"/>
      <c r="M39" s="18" t="s">
        <v>113</v>
      </c>
      <c r="N39" t="s">
        <v>1154</v>
      </c>
      <c r="O39" t="s">
        <v>1395</v>
      </c>
      <c r="P39" s="1" t="s">
        <v>505</v>
      </c>
      <c r="Q39" s="13" t="s">
        <v>25</v>
      </c>
      <c r="R39">
        <v>1</v>
      </c>
      <c r="S39">
        <v>32000</v>
      </c>
      <c r="T39"/>
      <c r="U39" s="9" t="s">
        <v>281</v>
      </c>
      <c r="V39" s="9" t="s">
        <v>1136</v>
      </c>
      <c r="W39" s="9" t="s">
        <v>1395</v>
      </c>
      <c r="X39" s="9"/>
    </row>
    <row r="40" spans="1:24">
      <c r="A40" s="13" t="s">
        <v>19</v>
      </c>
      <c r="B40" s="1"/>
      <c r="C40" s="1" t="s">
        <v>29</v>
      </c>
      <c r="D40" s="3">
        <v>30000</v>
      </c>
      <c r="E40"/>
      <c r="F40"/>
      <c r="G40"/>
      <c r="H40"/>
      <c r="I40"/>
      <c r="J40"/>
      <c r="K40"/>
      <c r="L40"/>
      <c r="M40" s="18" t="s">
        <v>113</v>
      </c>
      <c r="N40" t="s">
        <v>1154</v>
      </c>
      <c r="O40" t="s">
        <v>1395</v>
      </c>
      <c r="P40" s="1" t="s">
        <v>506</v>
      </c>
      <c r="Q40" s="13" t="s">
        <v>25</v>
      </c>
      <c r="R40">
        <v>6</v>
      </c>
      <c r="S40">
        <v>5000</v>
      </c>
      <c r="T40"/>
      <c r="U40" s="9" t="s">
        <v>291</v>
      </c>
      <c r="V40" s="9" t="s">
        <v>1137</v>
      </c>
      <c r="W40" s="9" t="s">
        <v>94</v>
      </c>
      <c r="X40" s="9"/>
    </row>
    <row r="41" spans="1:24">
      <c r="A41" s="13" t="s">
        <v>19</v>
      </c>
      <c r="B41" s="1"/>
      <c r="C41" s="1" t="s">
        <v>29</v>
      </c>
      <c r="D41" s="3">
        <v>5000</v>
      </c>
      <c r="E41"/>
      <c r="F41"/>
      <c r="G41"/>
      <c r="H41"/>
      <c r="I41"/>
      <c r="J41"/>
      <c r="K41"/>
      <c r="L41"/>
      <c r="M41" s="18" t="s">
        <v>113</v>
      </c>
      <c r="N41" t="s">
        <v>1154</v>
      </c>
      <c r="O41" t="s">
        <v>1395</v>
      </c>
      <c r="P41" s="1" t="s">
        <v>507</v>
      </c>
      <c r="Q41" s="13" t="s">
        <v>25</v>
      </c>
      <c r="R41">
        <v>1</v>
      </c>
      <c r="S41">
        <v>5000</v>
      </c>
      <c r="T41"/>
      <c r="U41" s="9" t="s">
        <v>367</v>
      </c>
      <c r="V41" s="9" t="s">
        <v>1138</v>
      </c>
      <c r="W41" s="9" t="s">
        <v>1395</v>
      </c>
      <c r="X41" s="9"/>
    </row>
    <row r="42" spans="1:24">
      <c r="A42" s="13"/>
      <c r="B42" s="1"/>
      <c r="C42" s="1"/>
      <c r="D42" s="3" t="str">
        <f>SUBTOTAL(9,D38:D41)</f>
        <v>0</v>
      </c>
      <c r="E42"/>
      <c r="F42"/>
      <c r="G42"/>
      <c r="H42"/>
      <c r="I42"/>
      <c r="J42"/>
      <c r="K42"/>
      <c r="L42"/>
      <c r="M42" s="18" t="s">
        <v>114</v>
      </c>
      <c r="N42" t="s">
        <v>1403</v>
      </c>
      <c r="O42" t="s">
        <v>1395</v>
      </c>
      <c r="P42" s="1"/>
      <c r="Q42" s="13"/>
      <c r="R42"/>
      <c r="S42"/>
      <c r="T42"/>
      <c r="U42" s="9" t="s">
        <v>273</v>
      </c>
      <c r="V42" s="9" t="s">
        <v>1139</v>
      </c>
      <c r="W42" s="9" t="s">
        <v>94</v>
      </c>
      <c r="X42" s="9"/>
    </row>
    <row r="43" spans="1:24">
      <c r="A43" s="13" t="s">
        <v>19</v>
      </c>
      <c r="B43" s="1"/>
      <c r="C43" s="1" t="s">
        <v>20</v>
      </c>
      <c r="D43" s="3">
        <v>256000</v>
      </c>
      <c r="E43"/>
      <c r="F43"/>
      <c r="G43"/>
      <c r="H43"/>
      <c r="I43"/>
      <c r="J43"/>
      <c r="K43"/>
      <c r="L43"/>
      <c r="M43" s="18" t="s">
        <v>115</v>
      </c>
      <c r="N43" t="s">
        <v>1201</v>
      </c>
      <c r="O43" t="s">
        <v>98</v>
      </c>
      <c r="P43" s="1" t="s">
        <v>24</v>
      </c>
      <c r="Q43" s="13" t="s">
        <v>25</v>
      </c>
      <c r="R43">
        <v>8</v>
      </c>
      <c r="S43">
        <v>32000</v>
      </c>
      <c r="T43"/>
      <c r="U43" s="9" t="s">
        <v>239</v>
      </c>
      <c r="V43" s="9" t="s">
        <v>1140</v>
      </c>
      <c r="W43" s="9" t="s">
        <v>1395</v>
      </c>
      <c r="X43" s="9"/>
    </row>
    <row r="44" spans="1:24">
      <c r="A44" s="13" t="s">
        <v>19</v>
      </c>
      <c r="B44" s="1"/>
      <c r="C44" s="1" t="s">
        <v>20</v>
      </c>
      <c r="D44" s="3">
        <v>64000</v>
      </c>
      <c r="E44"/>
      <c r="F44"/>
      <c r="G44"/>
      <c r="H44"/>
      <c r="I44"/>
      <c r="J44"/>
      <c r="K44"/>
      <c r="L44"/>
      <c r="M44" s="18" t="s">
        <v>115</v>
      </c>
      <c r="N44" t="s">
        <v>1201</v>
      </c>
      <c r="O44" t="s">
        <v>98</v>
      </c>
      <c r="P44" s="1" t="s">
        <v>24</v>
      </c>
      <c r="Q44" s="13" t="s">
        <v>25</v>
      </c>
      <c r="R44">
        <v>2</v>
      </c>
      <c r="S44">
        <v>32000</v>
      </c>
      <c r="T44"/>
      <c r="U44" s="9" t="s">
        <v>1045</v>
      </c>
      <c r="V44" s="9" t="s">
        <v>1141</v>
      </c>
      <c r="W44" s="9"/>
      <c r="X44" s="9"/>
    </row>
    <row r="45" spans="1:24">
      <c r="A45" s="13" t="s">
        <v>19</v>
      </c>
      <c r="B45" s="1"/>
      <c r="C45" s="1" t="s">
        <v>20</v>
      </c>
      <c r="D45" s="3">
        <v>64000</v>
      </c>
      <c r="E45"/>
      <c r="F45"/>
      <c r="G45"/>
      <c r="H45"/>
      <c r="I45"/>
      <c r="J45"/>
      <c r="K45"/>
      <c r="L45"/>
      <c r="M45" s="18" t="s">
        <v>115</v>
      </c>
      <c r="N45" t="s">
        <v>1201</v>
      </c>
      <c r="O45" t="s">
        <v>98</v>
      </c>
      <c r="P45" s="1" t="s">
        <v>24</v>
      </c>
      <c r="Q45" s="13" t="s">
        <v>25</v>
      </c>
      <c r="R45">
        <v>2</v>
      </c>
      <c r="S45">
        <v>32000</v>
      </c>
      <c r="T45"/>
      <c r="U45" s="9" t="s">
        <v>415</v>
      </c>
      <c r="V45" s="9" t="s">
        <v>1142</v>
      </c>
      <c r="W45" s="9" t="s">
        <v>1395</v>
      </c>
      <c r="X45" s="9"/>
    </row>
    <row r="46" spans="1:24">
      <c r="A46" s="13" t="s">
        <v>19</v>
      </c>
      <c r="B46" s="1"/>
      <c r="C46" s="1" t="s">
        <v>20</v>
      </c>
      <c r="D46" s="3">
        <v>32000</v>
      </c>
      <c r="E46"/>
      <c r="F46"/>
      <c r="G46"/>
      <c r="H46"/>
      <c r="I46"/>
      <c r="J46"/>
      <c r="K46"/>
      <c r="L46"/>
      <c r="M46" s="18" t="s">
        <v>115</v>
      </c>
      <c r="N46" t="s">
        <v>1201</v>
      </c>
      <c r="O46" t="s">
        <v>98</v>
      </c>
      <c r="P46" s="1" t="s">
        <v>24</v>
      </c>
      <c r="Q46" s="13" t="s">
        <v>25</v>
      </c>
      <c r="R46">
        <v>1</v>
      </c>
      <c r="S46">
        <v>32000</v>
      </c>
      <c r="T46"/>
      <c r="U46" s="9" t="s">
        <v>1046</v>
      </c>
      <c r="V46" s="9" t="s">
        <v>1143</v>
      </c>
      <c r="W46" s="9" t="s">
        <v>1395</v>
      </c>
      <c r="X46" s="9"/>
    </row>
    <row r="47" spans="1:24">
      <c r="A47" s="13" t="s">
        <v>19</v>
      </c>
      <c r="B47" s="1"/>
      <c r="C47" s="1" t="s">
        <v>20</v>
      </c>
      <c r="D47" s="3">
        <v>128000</v>
      </c>
      <c r="E47"/>
      <c r="F47"/>
      <c r="G47"/>
      <c r="H47"/>
      <c r="I47"/>
      <c r="J47"/>
      <c r="K47"/>
      <c r="L47"/>
      <c r="M47" s="18" t="s">
        <v>115</v>
      </c>
      <c r="N47" t="s">
        <v>1201</v>
      </c>
      <c r="O47" t="s">
        <v>98</v>
      </c>
      <c r="P47" s="1" t="s">
        <v>24</v>
      </c>
      <c r="Q47" s="13" t="s">
        <v>25</v>
      </c>
      <c r="R47">
        <v>4</v>
      </c>
      <c r="S47">
        <v>32000</v>
      </c>
      <c r="T47"/>
      <c r="U47" s="9" t="s">
        <v>233</v>
      </c>
      <c r="V47" s="9" t="s">
        <v>1144</v>
      </c>
      <c r="W47" s="9" t="s">
        <v>23</v>
      </c>
      <c r="X47" s="9"/>
    </row>
    <row r="48" spans="1:24">
      <c r="A48" s="13" t="s">
        <v>19</v>
      </c>
      <c r="B48" s="1"/>
      <c r="C48" s="1" t="s">
        <v>20</v>
      </c>
      <c r="D48" s="3">
        <v>160000</v>
      </c>
      <c r="E48"/>
      <c r="F48"/>
      <c r="G48"/>
      <c r="H48"/>
      <c r="I48"/>
      <c r="J48"/>
      <c r="K48"/>
      <c r="L48"/>
      <c r="M48" s="18" t="s">
        <v>115</v>
      </c>
      <c r="N48" t="s">
        <v>1201</v>
      </c>
      <c r="O48" t="s">
        <v>98</v>
      </c>
      <c r="P48" s="1" t="s">
        <v>24</v>
      </c>
      <c r="Q48" s="13" t="s">
        <v>25</v>
      </c>
      <c r="R48">
        <v>5</v>
      </c>
      <c r="S48">
        <v>32000</v>
      </c>
      <c r="T48"/>
      <c r="U48" s="9" t="s">
        <v>341</v>
      </c>
      <c r="V48" s="9" t="s">
        <v>1145</v>
      </c>
      <c r="W48" s="9" t="s">
        <v>94</v>
      </c>
      <c r="X48" s="9"/>
    </row>
    <row r="49" spans="1:24">
      <c r="A49" s="13" t="s">
        <v>19</v>
      </c>
      <c r="B49" s="1"/>
      <c r="C49" s="1" t="s">
        <v>20</v>
      </c>
      <c r="D49" s="3">
        <v>64000</v>
      </c>
      <c r="E49"/>
      <c r="F49"/>
      <c r="G49"/>
      <c r="H49"/>
      <c r="I49"/>
      <c r="J49"/>
      <c r="K49"/>
      <c r="L49"/>
      <c r="M49" s="18" t="s">
        <v>115</v>
      </c>
      <c r="N49" t="s">
        <v>1201</v>
      </c>
      <c r="O49" t="s">
        <v>98</v>
      </c>
      <c r="P49" s="1" t="s">
        <v>24</v>
      </c>
      <c r="Q49" s="13" t="s">
        <v>25</v>
      </c>
      <c r="R49">
        <v>2</v>
      </c>
      <c r="S49">
        <v>32000</v>
      </c>
      <c r="T49"/>
      <c r="U49" s="9" t="s">
        <v>183</v>
      </c>
      <c r="V49" s="9" t="s">
        <v>1146</v>
      </c>
      <c r="W49" s="9" t="s">
        <v>23</v>
      </c>
      <c r="X49" s="9"/>
    </row>
    <row r="50" spans="1:24">
      <c r="A50" s="13" t="s">
        <v>19</v>
      </c>
      <c r="B50" s="1"/>
      <c r="C50" s="1" t="s">
        <v>20</v>
      </c>
      <c r="D50" s="3">
        <v>32000</v>
      </c>
      <c r="E50"/>
      <c r="F50"/>
      <c r="G50"/>
      <c r="H50"/>
      <c r="I50"/>
      <c r="J50"/>
      <c r="K50"/>
      <c r="L50"/>
      <c r="M50" s="18" t="s">
        <v>115</v>
      </c>
      <c r="N50" t="s">
        <v>1201</v>
      </c>
      <c r="O50" t="s">
        <v>98</v>
      </c>
      <c r="P50" s="1" t="s">
        <v>508</v>
      </c>
      <c r="Q50" s="13" t="s">
        <v>25</v>
      </c>
      <c r="R50">
        <v>1</v>
      </c>
      <c r="S50">
        <v>32000</v>
      </c>
      <c r="T50"/>
      <c r="U50" s="9" t="s">
        <v>209</v>
      </c>
      <c r="V50" s="9" t="s">
        <v>1147</v>
      </c>
      <c r="W50" s="9" t="s">
        <v>23</v>
      </c>
      <c r="X50" s="9"/>
    </row>
    <row r="51" spans="1:24">
      <c r="A51" s="13" t="s">
        <v>19</v>
      </c>
      <c r="B51" s="1"/>
      <c r="C51" s="1" t="s">
        <v>29</v>
      </c>
      <c r="D51" s="3">
        <v>40000</v>
      </c>
      <c r="E51"/>
      <c r="F51"/>
      <c r="G51"/>
      <c r="H51"/>
      <c r="I51"/>
      <c r="J51"/>
      <c r="K51"/>
      <c r="L51"/>
      <c r="M51" s="18" t="s">
        <v>115</v>
      </c>
      <c r="N51" t="s">
        <v>1201</v>
      </c>
      <c r="O51" t="s">
        <v>98</v>
      </c>
      <c r="P51" s="1" t="s">
        <v>30</v>
      </c>
      <c r="Q51" s="13" t="s">
        <v>25</v>
      </c>
      <c r="R51">
        <v>8</v>
      </c>
      <c r="S51">
        <v>5000</v>
      </c>
      <c r="T51"/>
      <c r="U51" s="9" t="s">
        <v>259</v>
      </c>
      <c r="V51" s="9" t="s">
        <v>1148</v>
      </c>
      <c r="W51" s="9" t="s">
        <v>94</v>
      </c>
      <c r="X51" s="9"/>
    </row>
    <row r="52" spans="1:24">
      <c r="A52" s="13" t="s">
        <v>19</v>
      </c>
      <c r="B52" s="1"/>
      <c r="C52" s="1" t="s">
        <v>29</v>
      </c>
      <c r="D52" s="3">
        <v>10000</v>
      </c>
      <c r="E52"/>
      <c r="F52"/>
      <c r="G52"/>
      <c r="H52"/>
      <c r="I52"/>
      <c r="J52"/>
      <c r="K52"/>
      <c r="L52"/>
      <c r="M52" s="18" t="s">
        <v>115</v>
      </c>
      <c r="N52" t="s">
        <v>1201</v>
      </c>
      <c r="O52" t="s">
        <v>98</v>
      </c>
      <c r="P52" s="1" t="s">
        <v>30</v>
      </c>
      <c r="Q52" s="13" t="s">
        <v>25</v>
      </c>
      <c r="R52">
        <v>2</v>
      </c>
      <c r="S52">
        <v>5000</v>
      </c>
      <c r="T52"/>
      <c r="U52" s="9" t="s">
        <v>111</v>
      </c>
      <c r="V52" s="9" t="s">
        <v>1149</v>
      </c>
      <c r="W52" s="9" t="s">
        <v>96</v>
      </c>
      <c r="X52" s="9"/>
    </row>
    <row r="53" spans="1:24">
      <c r="A53" s="13" t="s">
        <v>19</v>
      </c>
      <c r="B53" s="1"/>
      <c r="C53" s="1" t="s">
        <v>29</v>
      </c>
      <c r="D53" s="3">
        <v>10000</v>
      </c>
      <c r="E53"/>
      <c r="F53"/>
      <c r="G53"/>
      <c r="H53"/>
      <c r="I53"/>
      <c r="J53"/>
      <c r="K53"/>
      <c r="L53"/>
      <c r="M53" s="18" t="s">
        <v>115</v>
      </c>
      <c r="N53" t="s">
        <v>1201</v>
      </c>
      <c r="O53" t="s">
        <v>98</v>
      </c>
      <c r="P53" s="1" t="s">
        <v>30</v>
      </c>
      <c r="Q53" s="13" t="s">
        <v>25</v>
      </c>
      <c r="R53">
        <v>2</v>
      </c>
      <c r="S53">
        <v>5000</v>
      </c>
      <c r="T53"/>
      <c r="U53" s="9" t="s">
        <v>293</v>
      </c>
      <c r="V53" s="9" t="s">
        <v>1150</v>
      </c>
      <c r="W53" s="9" t="s">
        <v>1395</v>
      </c>
      <c r="X53" s="9"/>
    </row>
    <row r="54" spans="1:24">
      <c r="A54" s="13" t="s">
        <v>19</v>
      </c>
      <c r="B54" s="1"/>
      <c r="C54" s="1" t="s">
        <v>29</v>
      </c>
      <c r="D54" s="3">
        <v>5000</v>
      </c>
      <c r="E54"/>
      <c r="F54"/>
      <c r="G54"/>
      <c r="H54"/>
      <c r="I54"/>
      <c r="J54"/>
      <c r="K54"/>
      <c r="L54"/>
      <c r="M54" s="18" t="s">
        <v>115</v>
      </c>
      <c r="N54" t="s">
        <v>1201</v>
      </c>
      <c r="O54" t="s">
        <v>98</v>
      </c>
      <c r="P54" s="1" t="s">
        <v>30</v>
      </c>
      <c r="Q54" s="13" t="s">
        <v>25</v>
      </c>
      <c r="R54">
        <v>1</v>
      </c>
      <c r="S54">
        <v>5000</v>
      </c>
      <c r="T54"/>
      <c r="U54" s="9" t="s">
        <v>105</v>
      </c>
      <c r="V54" s="9" t="s">
        <v>1151</v>
      </c>
      <c r="W54" s="9" t="s">
        <v>96</v>
      </c>
      <c r="X54" s="9"/>
    </row>
    <row r="55" spans="1:24">
      <c r="A55" s="13" t="s">
        <v>19</v>
      </c>
      <c r="B55" s="1"/>
      <c r="C55" s="1" t="s">
        <v>29</v>
      </c>
      <c r="D55" s="3">
        <v>20000</v>
      </c>
      <c r="E55"/>
      <c r="F55"/>
      <c r="G55"/>
      <c r="H55"/>
      <c r="I55"/>
      <c r="J55"/>
      <c r="K55"/>
      <c r="L55"/>
      <c r="M55" s="18" t="s">
        <v>115</v>
      </c>
      <c r="N55" t="s">
        <v>1201</v>
      </c>
      <c r="O55" t="s">
        <v>98</v>
      </c>
      <c r="P55" s="1" t="s">
        <v>30</v>
      </c>
      <c r="Q55" s="13" t="s">
        <v>25</v>
      </c>
      <c r="R55">
        <v>4</v>
      </c>
      <c r="S55">
        <v>5000</v>
      </c>
      <c r="T55"/>
      <c r="U55" s="9" t="s">
        <v>37</v>
      </c>
      <c r="V55" s="9" t="s">
        <v>1152</v>
      </c>
      <c r="W55" s="9" t="s">
        <v>1395</v>
      </c>
      <c r="X55" s="9"/>
    </row>
    <row r="56" spans="1:24">
      <c r="A56" s="13" t="s">
        <v>19</v>
      </c>
      <c r="B56" s="1"/>
      <c r="C56" s="1" t="s">
        <v>29</v>
      </c>
      <c r="D56" s="3">
        <v>25000</v>
      </c>
      <c r="E56"/>
      <c r="F56"/>
      <c r="G56"/>
      <c r="H56"/>
      <c r="I56"/>
      <c r="J56"/>
      <c r="K56"/>
      <c r="L56"/>
      <c r="M56" s="18" t="s">
        <v>115</v>
      </c>
      <c r="N56" t="s">
        <v>1201</v>
      </c>
      <c r="O56" t="s">
        <v>98</v>
      </c>
      <c r="P56" s="1" t="s">
        <v>30</v>
      </c>
      <c r="Q56" s="13" t="s">
        <v>25</v>
      </c>
      <c r="R56">
        <v>5</v>
      </c>
      <c r="S56">
        <v>5000</v>
      </c>
      <c r="T56"/>
      <c r="U56" s="9" t="s">
        <v>21</v>
      </c>
      <c r="V56" s="9" t="s">
        <v>22</v>
      </c>
      <c r="W56" s="9" t="s">
        <v>23</v>
      </c>
      <c r="X56" s="9"/>
    </row>
    <row r="57" spans="1:24">
      <c r="A57" s="13" t="s">
        <v>19</v>
      </c>
      <c r="B57" s="1"/>
      <c r="C57" s="1" t="s">
        <v>29</v>
      </c>
      <c r="D57" s="3">
        <v>10000</v>
      </c>
      <c r="E57"/>
      <c r="F57"/>
      <c r="G57"/>
      <c r="H57"/>
      <c r="I57"/>
      <c r="J57"/>
      <c r="K57"/>
      <c r="L57"/>
      <c r="M57" s="18" t="s">
        <v>115</v>
      </c>
      <c r="N57" t="s">
        <v>1201</v>
      </c>
      <c r="O57" t="s">
        <v>98</v>
      </c>
      <c r="P57" s="1" t="s">
        <v>30</v>
      </c>
      <c r="Q57" s="13" t="s">
        <v>25</v>
      </c>
      <c r="R57">
        <v>2</v>
      </c>
      <c r="S57">
        <v>5000</v>
      </c>
      <c r="T57"/>
      <c r="U57" s="9" t="s">
        <v>1047</v>
      </c>
      <c r="V57" s="9" t="s">
        <v>1047</v>
      </c>
      <c r="W57" s="9"/>
      <c r="X57" s="9"/>
    </row>
    <row r="58" spans="1:24">
      <c r="A58" s="13" t="s">
        <v>19</v>
      </c>
      <c r="B58" s="1"/>
      <c r="C58" s="1" t="s">
        <v>29</v>
      </c>
      <c r="D58" s="3">
        <v>5000</v>
      </c>
      <c r="E58"/>
      <c r="F58"/>
      <c r="G58"/>
      <c r="H58"/>
      <c r="I58"/>
      <c r="J58"/>
      <c r="K58"/>
      <c r="L58"/>
      <c r="M58" s="18" t="s">
        <v>115</v>
      </c>
      <c r="N58" t="s">
        <v>1201</v>
      </c>
      <c r="O58" t="s">
        <v>98</v>
      </c>
      <c r="P58" s="1" t="s">
        <v>509</v>
      </c>
      <c r="Q58" s="13" t="s">
        <v>25</v>
      </c>
      <c r="R58">
        <v>1</v>
      </c>
      <c r="S58">
        <v>5000</v>
      </c>
      <c r="T58"/>
      <c r="U58" s="9" t="s">
        <v>1048</v>
      </c>
      <c r="V58" s="9" t="s">
        <v>1048</v>
      </c>
      <c r="W58" s="9"/>
      <c r="X58" s="9"/>
    </row>
    <row r="59" spans="1:24">
      <c r="A59" s="13"/>
      <c r="B59" s="1"/>
      <c r="C59" s="1"/>
      <c r="D59" s="3" t="str">
        <f>SUBTOTAL(9,D43:D58)</f>
        <v>0</v>
      </c>
      <c r="E59"/>
      <c r="F59"/>
      <c r="G59"/>
      <c r="H59"/>
      <c r="I59"/>
      <c r="J59"/>
      <c r="K59"/>
      <c r="L59"/>
      <c r="M59" s="18" t="s">
        <v>116</v>
      </c>
      <c r="N59" t="s">
        <v>1404</v>
      </c>
      <c r="O59" t="s">
        <v>98</v>
      </c>
      <c r="P59" s="1"/>
      <c r="Q59" s="13"/>
      <c r="R59"/>
      <c r="S59"/>
      <c r="T59"/>
      <c r="U59" s="9" t="s">
        <v>285</v>
      </c>
      <c r="V59" s="9" t="s">
        <v>1153</v>
      </c>
      <c r="W59" s="9" t="s">
        <v>23</v>
      </c>
      <c r="X59" s="9"/>
    </row>
    <row r="60" spans="1:24">
      <c r="A60" s="13" t="s">
        <v>19</v>
      </c>
      <c r="B60" s="1"/>
      <c r="C60" s="1" t="s">
        <v>20</v>
      </c>
      <c r="D60" s="3">
        <v>64000</v>
      </c>
      <c r="E60"/>
      <c r="F60"/>
      <c r="G60"/>
      <c r="H60"/>
      <c r="I60"/>
      <c r="J60"/>
      <c r="K60"/>
      <c r="L60"/>
      <c r="M60" s="18" t="s">
        <v>117</v>
      </c>
      <c r="N60" t="s">
        <v>1202</v>
      </c>
      <c r="O60" t="s">
        <v>1395</v>
      </c>
      <c r="P60" s="1" t="s">
        <v>24</v>
      </c>
      <c r="Q60" s="13" t="s">
        <v>25</v>
      </c>
      <c r="R60">
        <v>2</v>
      </c>
      <c r="S60">
        <v>32000</v>
      </c>
      <c r="T60"/>
      <c r="U60" s="9" t="s">
        <v>113</v>
      </c>
      <c r="V60" s="9" t="s">
        <v>1154</v>
      </c>
      <c r="W60" s="9" t="s">
        <v>1395</v>
      </c>
      <c r="X60" s="9"/>
    </row>
    <row r="61" spans="1:24">
      <c r="A61" s="13" t="s">
        <v>19</v>
      </c>
      <c r="B61" s="1"/>
      <c r="C61" s="1" t="s">
        <v>20</v>
      </c>
      <c r="D61" s="3">
        <v>64000</v>
      </c>
      <c r="E61"/>
      <c r="F61"/>
      <c r="G61"/>
      <c r="H61"/>
      <c r="I61"/>
      <c r="J61"/>
      <c r="K61"/>
      <c r="L61"/>
      <c r="M61" s="18" t="s">
        <v>117</v>
      </c>
      <c r="N61" t="s">
        <v>1202</v>
      </c>
      <c r="O61" t="s">
        <v>1395</v>
      </c>
      <c r="P61" s="1" t="s">
        <v>24</v>
      </c>
      <c r="Q61" s="13" t="s">
        <v>25</v>
      </c>
      <c r="R61">
        <v>2</v>
      </c>
      <c r="S61">
        <v>32000</v>
      </c>
      <c r="T61"/>
      <c r="U61" s="9" t="s">
        <v>1049</v>
      </c>
      <c r="V61" s="9" t="s">
        <v>1155</v>
      </c>
      <c r="W61" s="9"/>
      <c r="X61" s="9"/>
    </row>
    <row r="62" spans="1:24">
      <c r="A62" s="13" t="s">
        <v>19</v>
      </c>
      <c r="B62" s="1"/>
      <c r="C62" s="1" t="s">
        <v>20</v>
      </c>
      <c r="D62" s="3">
        <v>32000</v>
      </c>
      <c r="E62"/>
      <c r="F62"/>
      <c r="G62"/>
      <c r="H62"/>
      <c r="I62"/>
      <c r="J62"/>
      <c r="K62"/>
      <c r="L62"/>
      <c r="M62" s="18" t="s">
        <v>117</v>
      </c>
      <c r="N62" t="s">
        <v>1202</v>
      </c>
      <c r="O62" t="s">
        <v>1395</v>
      </c>
      <c r="P62" s="1" t="s">
        <v>24</v>
      </c>
      <c r="Q62" s="13" t="s">
        <v>25</v>
      </c>
      <c r="R62">
        <v>1</v>
      </c>
      <c r="S62">
        <v>32000</v>
      </c>
      <c r="T62"/>
      <c r="U62" s="9" t="s">
        <v>445</v>
      </c>
      <c r="V62" s="9" t="s">
        <v>1156</v>
      </c>
      <c r="W62" s="9" t="s">
        <v>98</v>
      </c>
      <c r="X62" s="9"/>
    </row>
    <row r="63" spans="1:24">
      <c r="A63" s="13" t="s">
        <v>19</v>
      </c>
      <c r="B63" s="1"/>
      <c r="C63" s="1" t="s">
        <v>26</v>
      </c>
      <c r="D63" s="3">
        <v>27000</v>
      </c>
      <c r="E63"/>
      <c r="F63"/>
      <c r="G63"/>
      <c r="H63"/>
      <c r="I63"/>
      <c r="J63"/>
      <c r="K63"/>
      <c r="L63"/>
      <c r="M63" s="18" t="s">
        <v>117</v>
      </c>
      <c r="N63" t="s">
        <v>1202</v>
      </c>
      <c r="O63" t="s">
        <v>1395</v>
      </c>
      <c r="P63" s="1" t="s">
        <v>510</v>
      </c>
      <c r="Q63" s="13" t="s">
        <v>25</v>
      </c>
      <c r="R63">
        <v>1</v>
      </c>
      <c r="S63">
        <v>27000</v>
      </c>
      <c r="T63"/>
      <c r="U63" s="9" t="s">
        <v>361</v>
      </c>
      <c r="V63" s="9" t="s">
        <v>1157</v>
      </c>
      <c r="W63" s="9" t="s">
        <v>1395</v>
      </c>
      <c r="X63" s="9"/>
    </row>
    <row r="64" spans="1:24">
      <c r="A64" s="13" t="s">
        <v>19</v>
      </c>
      <c r="B64" s="1"/>
      <c r="C64" s="1" t="s">
        <v>29</v>
      </c>
      <c r="D64" s="3">
        <v>10000</v>
      </c>
      <c r="E64"/>
      <c r="F64"/>
      <c r="G64"/>
      <c r="H64"/>
      <c r="I64"/>
      <c r="J64"/>
      <c r="K64"/>
      <c r="L64"/>
      <c r="M64" s="18" t="s">
        <v>117</v>
      </c>
      <c r="N64" t="s">
        <v>1202</v>
      </c>
      <c r="O64" t="s">
        <v>1395</v>
      </c>
      <c r="P64" s="1" t="s">
        <v>30</v>
      </c>
      <c r="Q64" s="13" t="s">
        <v>25</v>
      </c>
      <c r="R64">
        <v>2</v>
      </c>
      <c r="S64">
        <v>5000</v>
      </c>
      <c r="T64"/>
      <c r="U64" s="9" t="s">
        <v>151</v>
      </c>
      <c r="V64" s="9" t="s">
        <v>1158</v>
      </c>
      <c r="W64" s="9" t="s">
        <v>96</v>
      </c>
      <c r="X64" s="9"/>
    </row>
    <row r="65" spans="1:24">
      <c r="A65" s="13" t="s">
        <v>19</v>
      </c>
      <c r="B65" s="1"/>
      <c r="C65" s="1" t="s">
        <v>29</v>
      </c>
      <c r="D65" s="3">
        <v>10000</v>
      </c>
      <c r="E65"/>
      <c r="F65"/>
      <c r="G65"/>
      <c r="H65"/>
      <c r="I65"/>
      <c r="J65"/>
      <c r="K65"/>
      <c r="L65"/>
      <c r="M65" s="18" t="s">
        <v>117</v>
      </c>
      <c r="N65" t="s">
        <v>1202</v>
      </c>
      <c r="O65" t="s">
        <v>1395</v>
      </c>
      <c r="P65" s="1" t="s">
        <v>30</v>
      </c>
      <c r="Q65" s="13" t="s">
        <v>25</v>
      </c>
      <c r="R65">
        <v>2</v>
      </c>
      <c r="S65">
        <v>5000</v>
      </c>
      <c r="T65"/>
      <c r="U65" s="9" t="s">
        <v>359</v>
      </c>
      <c r="V65" s="9" t="s">
        <v>1159</v>
      </c>
      <c r="W65" s="9" t="s">
        <v>96</v>
      </c>
      <c r="X65" s="9"/>
    </row>
    <row r="66" spans="1:24">
      <c r="A66" s="13" t="s">
        <v>19</v>
      </c>
      <c r="B66" s="1"/>
      <c r="C66" s="1" t="s">
        <v>29</v>
      </c>
      <c r="D66" s="3">
        <v>5000</v>
      </c>
      <c r="E66"/>
      <c r="F66"/>
      <c r="G66"/>
      <c r="H66"/>
      <c r="I66"/>
      <c r="J66"/>
      <c r="K66"/>
      <c r="L66"/>
      <c r="M66" s="18" t="s">
        <v>117</v>
      </c>
      <c r="N66" t="s">
        <v>1202</v>
      </c>
      <c r="O66" t="s">
        <v>1395</v>
      </c>
      <c r="P66" s="1" t="s">
        <v>30</v>
      </c>
      <c r="Q66" s="13" t="s">
        <v>25</v>
      </c>
      <c r="R66">
        <v>1</v>
      </c>
      <c r="S66">
        <v>5000</v>
      </c>
      <c r="T66"/>
      <c r="U66" s="9" t="s">
        <v>1050</v>
      </c>
      <c r="V66" s="9" t="s">
        <v>1160</v>
      </c>
      <c r="W66" s="9"/>
      <c r="X66" s="9"/>
    </row>
    <row r="67" spans="1:24">
      <c r="A67" s="13" t="s">
        <v>19</v>
      </c>
      <c r="B67" s="1"/>
      <c r="C67" s="1" t="s">
        <v>32</v>
      </c>
      <c r="D67" s="3">
        <v>5000</v>
      </c>
      <c r="E67"/>
      <c r="F67"/>
      <c r="G67"/>
      <c r="H67"/>
      <c r="I67"/>
      <c r="J67"/>
      <c r="K67"/>
      <c r="L67"/>
      <c r="M67" s="18" t="s">
        <v>117</v>
      </c>
      <c r="N67" t="s">
        <v>1202</v>
      </c>
      <c r="O67" t="s">
        <v>1395</v>
      </c>
      <c r="P67" s="1" t="s">
        <v>511</v>
      </c>
      <c r="Q67" s="13" t="s">
        <v>25</v>
      </c>
      <c r="R67">
        <v>1</v>
      </c>
      <c r="S67">
        <v>5000</v>
      </c>
      <c r="T67"/>
      <c r="U67" s="9" t="s">
        <v>1051</v>
      </c>
      <c r="V67" s="9" t="s">
        <v>1161</v>
      </c>
      <c r="W67" s="9"/>
      <c r="X67" s="9"/>
    </row>
    <row r="68" spans="1:24">
      <c r="A68" s="13"/>
      <c r="B68" s="1"/>
      <c r="C68" s="1"/>
      <c r="D68" s="3" t="str">
        <f>SUBTOTAL(9,D60:D67)</f>
        <v>0</v>
      </c>
      <c r="E68"/>
      <c r="F68"/>
      <c r="G68"/>
      <c r="H68"/>
      <c r="I68"/>
      <c r="J68"/>
      <c r="K68"/>
      <c r="L68"/>
      <c r="M68" s="18" t="s">
        <v>118</v>
      </c>
      <c r="N68" t="s">
        <v>1405</v>
      </c>
      <c r="O68" t="s">
        <v>1395</v>
      </c>
      <c r="P68" s="1"/>
      <c r="Q68" s="13"/>
      <c r="R68"/>
      <c r="S68"/>
      <c r="T68"/>
      <c r="U68" s="9" t="s">
        <v>181</v>
      </c>
      <c r="V68" s="9" t="s">
        <v>1162</v>
      </c>
      <c r="W68" s="9" t="s">
        <v>1395</v>
      </c>
      <c r="X68" s="9"/>
    </row>
    <row r="69" spans="1:24">
      <c r="A69" s="13" t="s">
        <v>19</v>
      </c>
      <c r="B69" s="1"/>
      <c r="C69" s="1" t="s">
        <v>26</v>
      </c>
      <c r="D69" s="3">
        <v>15000</v>
      </c>
      <c r="E69"/>
      <c r="F69"/>
      <c r="G69"/>
      <c r="H69"/>
      <c r="I69"/>
      <c r="J69"/>
      <c r="K69"/>
      <c r="L69"/>
      <c r="M69" s="18" t="s">
        <v>119</v>
      </c>
      <c r="N69" t="s">
        <v>1203</v>
      </c>
      <c r="O69"/>
      <c r="P69" s="1" t="s">
        <v>512</v>
      </c>
      <c r="Q69" s="13" t="s">
        <v>25</v>
      </c>
      <c r="R69">
        <v>1</v>
      </c>
      <c r="S69">
        <v>15000</v>
      </c>
      <c r="T69"/>
      <c r="U69" s="9" t="s">
        <v>437</v>
      </c>
      <c r="V69" s="9" t="s">
        <v>1163</v>
      </c>
      <c r="W69" s="9" t="s">
        <v>1395</v>
      </c>
      <c r="X69" s="9"/>
    </row>
    <row r="70" spans="1:24">
      <c r="A70" s="13" t="s">
        <v>19</v>
      </c>
      <c r="B70" s="1"/>
      <c r="C70" s="1" t="s">
        <v>26</v>
      </c>
      <c r="D70" s="3">
        <v>20000</v>
      </c>
      <c r="E70"/>
      <c r="F70"/>
      <c r="G70"/>
      <c r="H70"/>
      <c r="I70"/>
      <c r="J70"/>
      <c r="K70"/>
      <c r="L70"/>
      <c r="M70" s="18" t="s">
        <v>119</v>
      </c>
      <c r="N70" t="s">
        <v>1203</v>
      </c>
      <c r="O70"/>
      <c r="P70" s="1" t="s">
        <v>513</v>
      </c>
      <c r="Q70" s="13" t="s">
        <v>25</v>
      </c>
      <c r="R70">
        <v>1</v>
      </c>
      <c r="S70">
        <v>20000</v>
      </c>
      <c r="T70"/>
      <c r="U70" s="9" t="s">
        <v>373</v>
      </c>
      <c r="V70" s="9" t="s">
        <v>1164</v>
      </c>
      <c r="W70" s="9" t="s">
        <v>94</v>
      </c>
      <c r="X70" s="9"/>
    </row>
    <row r="71" spans="1:24">
      <c r="A71" s="13" t="s">
        <v>19</v>
      </c>
      <c r="B71" s="1"/>
      <c r="C71" s="1" t="s">
        <v>26</v>
      </c>
      <c r="D71" s="3">
        <v>40000</v>
      </c>
      <c r="E71"/>
      <c r="F71"/>
      <c r="G71"/>
      <c r="H71"/>
      <c r="I71"/>
      <c r="J71"/>
      <c r="K71"/>
      <c r="L71"/>
      <c r="M71" s="18" t="s">
        <v>119</v>
      </c>
      <c r="N71" t="s">
        <v>1203</v>
      </c>
      <c r="O71"/>
      <c r="P71" s="1" t="s">
        <v>514</v>
      </c>
      <c r="Q71" s="13" t="s">
        <v>25</v>
      </c>
      <c r="R71">
        <v>2</v>
      </c>
      <c r="S71">
        <v>20000</v>
      </c>
      <c r="T71"/>
      <c r="U71" s="9" t="s">
        <v>295</v>
      </c>
      <c r="V71" s="9" t="s">
        <v>1165</v>
      </c>
      <c r="W71" s="9" t="s">
        <v>1395</v>
      </c>
      <c r="X71" s="9"/>
    </row>
    <row r="72" spans="1:24">
      <c r="A72" s="13" t="s">
        <v>19</v>
      </c>
      <c r="B72" s="1"/>
      <c r="C72" s="1" t="s">
        <v>32</v>
      </c>
      <c r="D72" s="3">
        <v>5000</v>
      </c>
      <c r="E72"/>
      <c r="F72"/>
      <c r="G72"/>
      <c r="H72"/>
      <c r="I72"/>
      <c r="J72"/>
      <c r="K72"/>
      <c r="L72"/>
      <c r="M72" s="18" t="s">
        <v>119</v>
      </c>
      <c r="N72" t="s">
        <v>1203</v>
      </c>
      <c r="O72"/>
      <c r="P72" s="1" t="s">
        <v>515</v>
      </c>
      <c r="Q72" s="13" t="s">
        <v>25</v>
      </c>
      <c r="R72">
        <v>1</v>
      </c>
      <c r="S72">
        <v>5000</v>
      </c>
      <c r="T72"/>
      <c r="U72" s="9" t="s">
        <v>295</v>
      </c>
      <c r="V72" s="9" t="s">
        <v>1165</v>
      </c>
      <c r="W72" s="9"/>
      <c r="X72" s="9"/>
    </row>
    <row r="73" spans="1:24">
      <c r="A73" s="13" t="s">
        <v>19</v>
      </c>
      <c r="B73" s="1"/>
      <c r="C73" s="1" t="s">
        <v>32</v>
      </c>
      <c r="D73" s="3">
        <v>5000</v>
      </c>
      <c r="E73"/>
      <c r="F73"/>
      <c r="G73"/>
      <c r="H73"/>
      <c r="I73"/>
      <c r="J73"/>
      <c r="K73"/>
      <c r="L73"/>
      <c r="M73" s="18" t="s">
        <v>119</v>
      </c>
      <c r="N73" t="s">
        <v>1203</v>
      </c>
      <c r="O73"/>
      <c r="P73" s="1" t="s">
        <v>516</v>
      </c>
      <c r="Q73" s="13" t="s">
        <v>25</v>
      </c>
      <c r="R73">
        <v>1</v>
      </c>
      <c r="S73">
        <v>5000</v>
      </c>
      <c r="T73"/>
      <c r="U73" s="9" t="s">
        <v>371</v>
      </c>
      <c r="V73" s="9" t="s">
        <v>1166</v>
      </c>
      <c r="W73" s="9" t="s">
        <v>1395</v>
      </c>
      <c r="X73" s="9"/>
    </row>
    <row r="74" spans="1:24">
      <c r="A74" s="13" t="s">
        <v>19</v>
      </c>
      <c r="B74" s="1"/>
      <c r="C74" s="1" t="s">
        <v>32</v>
      </c>
      <c r="D74" s="3">
        <v>10000</v>
      </c>
      <c r="E74"/>
      <c r="F74"/>
      <c r="G74"/>
      <c r="H74"/>
      <c r="I74"/>
      <c r="J74"/>
      <c r="K74"/>
      <c r="L74"/>
      <c r="M74" s="18" t="s">
        <v>119</v>
      </c>
      <c r="N74" t="s">
        <v>1203</v>
      </c>
      <c r="O74"/>
      <c r="P74" s="1" t="s">
        <v>517</v>
      </c>
      <c r="Q74" s="13" t="s">
        <v>25</v>
      </c>
      <c r="R74">
        <v>2</v>
      </c>
      <c r="S74">
        <v>5000</v>
      </c>
      <c r="T74"/>
      <c r="U74" s="9" t="s">
        <v>1052</v>
      </c>
      <c r="V74" s="9" t="s">
        <v>1052</v>
      </c>
      <c r="W74" s="9"/>
      <c r="X74" s="9"/>
    </row>
    <row r="75" spans="1:24">
      <c r="A75" s="13"/>
      <c r="B75" s="1"/>
      <c r="C75" s="1"/>
      <c r="D75" s="3" t="str">
        <f>SUBTOTAL(9,D69:D74)</f>
        <v>0</v>
      </c>
      <c r="E75"/>
      <c r="F75"/>
      <c r="G75"/>
      <c r="H75"/>
      <c r="I75"/>
      <c r="J75"/>
      <c r="K75"/>
      <c r="L75"/>
      <c r="M75" s="18" t="s">
        <v>120</v>
      </c>
      <c r="N75" t="s">
        <v>1406</v>
      </c>
      <c r="O75"/>
      <c r="P75" s="1"/>
      <c r="Q75" s="13"/>
      <c r="R75"/>
      <c r="S75"/>
      <c r="T75"/>
      <c r="U75" s="9" t="s">
        <v>423</v>
      </c>
      <c r="V75" s="9" t="s">
        <v>1167</v>
      </c>
      <c r="W75" s="9" t="s">
        <v>1395</v>
      </c>
      <c r="X75" s="9"/>
    </row>
    <row r="76" spans="1:24">
      <c r="A76" s="13" t="s">
        <v>19</v>
      </c>
      <c r="B76" s="1"/>
      <c r="C76" s="1" t="s">
        <v>20</v>
      </c>
      <c r="D76" s="3">
        <v>96000</v>
      </c>
      <c r="E76"/>
      <c r="F76"/>
      <c r="G76"/>
      <c r="H76"/>
      <c r="I76"/>
      <c r="J76"/>
      <c r="K76"/>
      <c r="L76"/>
      <c r="M76" s="18" t="s">
        <v>121</v>
      </c>
      <c r="N76" t="s">
        <v>1224</v>
      </c>
      <c r="O76" t="s">
        <v>98</v>
      </c>
      <c r="P76" s="1" t="s">
        <v>24</v>
      </c>
      <c r="Q76" s="13" t="s">
        <v>25</v>
      </c>
      <c r="R76">
        <v>3</v>
      </c>
      <c r="S76">
        <v>32000</v>
      </c>
      <c r="T76"/>
      <c r="U76" s="9" t="s">
        <v>235</v>
      </c>
      <c r="V76" s="9" t="s">
        <v>1168</v>
      </c>
      <c r="W76" s="9" t="s">
        <v>94</v>
      </c>
      <c r="X76" s="9"/>
    </row>
    <row r="77" spans="1:24">
      <c r="A77" s="13" t="s">
        <v>19</v>
      </c>
      <c r="B77" s="1"/>
      <c r="C77" s="1" t="s">
        <v>20</v>
      </c>
      <c r="D77" s="3">
        <v>64000</v>
      </c>
      <c r="E77"/>
      <c r="F77"/>
      <c r="G77"/>
      <c r="H77"/>
      <c r="I77"/>
      <c r="J77"/>
      <c r="K77"/>
      <c r="L77"/>
      <c r="M77" s="18" t="s">
        <v>121</v>
      </c>
      <c r="N77" t="s">
        <v>1224</v>
      </c>
      <c r="O77" t="s">
        <v>98</v>
      </c>
      <c r="P77" s="1" t="s">
        <v>24</v>
      </c>
      <c r="Q77" s="13" t="s">
        <v>25</v>
      </c>
      <c r="R77">
        <v>2</v>
      </c>
      <c r="S77">
        <v>32000</v>
      </c>
      <c r="T77"/>
      <c r="U77" s="9" t="s">
        <v>211</v>
      </c>
      <c r="V77" s="9" t="s">
        <v>1169</v>
      </c>
      <c r="W77" s="9" t="s">
        <v>1395</v>
      </c>
      <c r="X77" s="9"/>
    </row>
    <row r="78" spans="1:24">
      <c r="A78" s="13" t="s">
        <v>19</v>
      </c>
      <c r="B78" s="1"/>
      <c r="C78" s="1" t="s">
        <v>29</v>
      </c>
      <c r="D78" s="3">
        <v>15000</v>
      </c>
      <c r="E78"/>
      <c r="F78"/>
      <c r="G78"/>
      <c r="H78"/>
      <c r="I78"/>
      <c r="J78"/>
      <c r="K78"/>
      <c r="L78"/>
      <c r="M78" s="18" t="s">
        <v>121</v>
      </c>
      <c r="N78" t="s">
        <v>1224</v>
      </c>
      <c r="O78" t="s">
        <v>98</v>
      </c>
      <c r="P78" s="1" t="s">
        <v>30</v>
      </c>
      <c r="Q78" s="13" t="s">
        <v>25</v>
      </c>
      <c r="R78">
        <v>3</v>
      </c>
      <c r="S78">
        <v>5000</v>
      </c>
      <c r="T78"/>
      <c r="U78" s="9" t="s">
        <v>1053</v>
      </c>
      <c r="V78" s="9" t="s">
        <v>1170</v>
      </c>
      <c r="W78" s="9" t="s">
        <v>23</v>
      </c>
      <c r="X78" s="9"/>
    </row>
    <row r="79" spans="1:24">
      <c r="A79" s="13" t="s">
        <v>19</v>
      </c>
      <c r="B79" s="1"/>
      <c r="C79" s="1" t="s">
        <v>29</v>
      </c>
      <c r="D79" s="3">
        <v>10000</v>
      </c>
      <c r="E79"/>
      <c r="F79"/>
      <c r="G79"/>
      <c r="H79"/>
      <c r="I79"/>
      <c r="J79"/>
      <c r="K79"/>
      <c r="L79"/>
      <c r="M79" s="18" t="s">
        <v>121</v>
      </c>
      <c r="N79" t="s">
        <v>1224</v>
      </c>
      <c r="O79" t="s">
        <v>98</v>
      </c>
      <c r="P79" s="1" t="s">
        <v>30</v>
      </c>
      <c r="Q79" s="13" t="s">
        <v>25</v>
      </c>
      <c r="R79">
        <v>2</v>
      </c>
      <c r="S79">
        <v>5000</v>
      </c>
      <c r="T79"/>
      <c r="U79" s="9" t="s">
        <v>1053</v>
      </c>
      <c r="V79" s="9" t="s">
        <v>1170</v>
      </c>
      <c r="W79" s="9"/>
      <c r="X79" s="9"/>
    </row>
    <row r="80" spans="1:24">
      <c r="A80" s="13"/>
      <c r="B80" s="1"/>
      <c r="C80" s="1"/>
      <c r="D80" s="3" t="str">
        <f>SUBTOTAL(9,D76:D79)</f>
        <v>0</v>
      </c>
      <c r="E80"/>
      <c r="F80"/>
      <c r="G80"/>
      <c r="H80"/>
      <c r="I80"/>
      <c r="J80"/>
      <c r="K80"/>
      <c r="L80"/>
      <c r="M80" s="18" t="s">
        <v>122</v>
      </c>
      <c r="N80" t="s">
        <v>1407</v>
      </c>
      <c r="O80" t="s">
        <v>98</v>
      </c>
      <c r="P80" s="1"/>
      <c r="Q80" s="13"/>
      <c r="R80"/>
      <c r="S80"/>
      <c r="T80"/>
      <c r="U80" s="9" t="s">
        <v>413</v>
      </c>
      <c r="V80" s="9" t="s">
        <v>1171</v>
      </c>
      <c r="W80" s="9" t="s">
        <v>94</v>
      </c>
      <c r="X80" s="9"/>
    </row>
    <row r="81" spans="1:24">
      <c r="A81" s="13" t="s">
        <v>19</v>
      </c>
      <c r="B81" s="1"/>
      <c r="C81" s="1" t="s">
        <v>20</v>
      </c>
      <c r="D81" s="3">
        <v>27000</v>
      </c>
      <c r="E81"/>
      <c r="F81"/>
      <c r="G81"/>
      <c r="H81"/>
      <c r="I81"/>
      <c r="J81"/>
      <c r="K81"/>
      <c r="L81"/>
      <c r="M81" s="18" t="s">
        <v>123</v>
      </c>
      <c r="N81" t="s">
        <v>1246</v>
      </c>
      <c r="O81" t="s">
        <v>1395</v>
      </c>
      <c r="P81" s="1" t="s">
        <v>24</v>
      </c>
      <c r="Q81" s="13" t="s">
        <v>25</v>
      </c>
      <c r="R81">
        <v>1</v>
      </c>
      <c r="S81">
        <v>27000</v>
      </c>
      <c r="T81"/>
      <c r="U81" s="9" t="s">
        <v>353</v>
      </c>
      <c r="V81" s="9" t="s">
        <v>1172</v>
      </c>
      <c r="W81" s="9" t="s">
        <v>93</v>
      </c>
      <c r="X81" s="9"/>
    </row>
    <row r="82" spans="1:24">
      <c r="A82" s="13" t="s">
        <v>19</v>
      </c>
      <c r="B82" s="1"/>
      <c r="C82" s="1" t="s">
        <v>20</v>
      </c>
      <c r="D82" s="3">
        <v>27000</v>
      </c>
      <c r="E82"/>
      <c r="F82"/>
      <c r="G82"/>
      <c r="H82"/>
      <c r="I82"/>
      <c r="J82"/>
      <c r="K82"/>
      <c r="L82"/>
      <c r="M82" s="18" t="s">
        <v>123</v>
      </c>
      <c r="N82" t="s">
        <v>1246</v>
      </c>
      <c r="O82" t="s">
        <v>1395</v>
      </c>
      <c r="P82" s="1" t="s">
        <v>24</v>
      </c>
      <c r="Q82" s="13" t="s">
        <v>25</v>
      </c>
      <c r="R82">
        <v>1</v>
      </c>
      <c r="S82">
        <v>27000</v>
      </c>
      <c r="T82"/>
      <c r="U82" s="9" t="s">
        <v>139</v>
      </c>
      <c r="V82" s="9" t="s">
        <v>1173</v>
      </c>
      <c r="W82" s="9" t="s">
        <v>96</v>
      </c>
      <c r="X82" s="9"/>
    </row>
    <row r="83" spans="1:24">
      <c r="A83" s="13" t="s">
        <v>19</v>
      </c>
      <c r="B83" s="1"/>
      <c r="C83" s="1" t="s">
        <v>20</v>
      </c>
      <c r="D83" s="3">
        <v>27000</v>
      </c>
      <c r="E83"/>
      <c r="F83"/>
      <c r="G83"/>
      <c r="H83"/>
      <c r="I83"/>
      <c r="J83"/>
      <c r="K83"/>
      <c r="L83"/>
      <c r="M83" s="18" t="s">
        <v>123</v>
      </c>
      <c r="N83" t="s">
        <v>1246</v>
      </c>
      <c r="O83" t="s">
        <v>1395</v>
      </c>
      <c r="P83" s="1" t="s">
        <v>518</v>
      </c>
      <c r="Q83" s="13" t="s">
        <v>25</v>
      </c>
      <c r="R83">
        <v>1</v>
      </c>
      <c r="S83">
        <v>27000</v>
      </c>
      <c r="T83"/>
      <c r="U83" s="9" t="s">
        <v>377</v>
      </c>
      <c r="V83" s="9" t="s">
        <v>1174</v>
      </c>
      <c r="W83" s="9"/>
      <c r="X83" s="9"/>
    </row>
    <row r="84" spans="1:24">
      <c r="A84" s="13" t="s">
        <v>19</v>
      </c>
      <c r="B84" s="1"/>
      <c r="C84" s="1" t="s">
        <v>29</v>
      </c>
      <c r="D84" s="3">
        <v>5000</v>
      </c>
      <c r="E84"/>
      <c r="F84"/>
      <c r="G84"/>
      <c r="H84"/>
      <c r="I84"/>
      <c r="J84"/>
      <c r="K84"/>
      <c r="L84"/>
      <c r="M84" s="18" t="s">
        <v>123</v>
      </c>
      <c r="N84" t="s">
        <v>1246</v>
      </c>
      <c r="O84" t="s">
        <v>1395</v>
      </c>
      <c r="P84" s="1" t="s">
        <v>30</v>
      </c>
      <c r="Q84" s="13" t="s">
        <v>25</v>
      </c>
      <c r="R84">
        <v>1</v>
      </c>
      <c r="S84">
        <v>5000</v>
      </c>
      <c r="T84"/>
      <c r="U84" s="9" t="s">
        <v>453</v>
      </c>
      <c r="V84" s="9" t="s">
        <v>1175</v>
      </c>
      <c r="W84" s="9" t="s">
        <v>97</v>
      </c>
      <c r="X84" s="9"/>
    </row>
    <row r="85" spans="1:24">
      <c r="A85" s="13" t="s">
        <v>19</v>
      </c>
      <c r="B85" s="1"/>
      <c r="C85" s="1" t="s">
        <v>29</v>
      </c>
      <c r="D85" s="3">
        <v>5000</v>
      </c>
      <c r="E85"/>
      <c r="F85"/>
      <c r="G85"/>
      <c r="H85"/>
      <c r="I85"/>
      <c r="J85"/>
      <c r="K85"/>
      <c r="L85"/>
      <c r="M85" s="18" t="s">
        <v>123</v>
      </c>
      <c r="N85" t="s">
        <v>1246</v>
      </c>
      <c r="O85" t="s">
        <v>1395</v>
      </c>
      <c r="P85" s="1" t="s">
        <v>30</v>
      </c>
      <c r="Q85" s="13" t="s">
        <v>25</v>
      </c>
      <c r="R85">
        <v>1</v>
      </c>
      <c r="S85">
        <v>5000</v>
      </c>
      <c r="T85"/>
      <c r="U85" s="9" t="s">
        <v>485</v>
      </c>
      <c r="V85" s="9" t="s">
        <v>1176</v>
      </c>
      <c r="W85" s="9" t="s">
        <v>1395</v>
      </c>
      <c r="X85" s="9"/>
    </row>
    <row r="86" spans="1:24">
      <c r="A86" s="13" t="s">
        <v>19</v>
      </c>
      <c r="B86" s="1"/>
      <c r="C86" s="1" t="s">
        <v>29</v>
      </c>
      <c r="D86" s="3">
        <v>5000</v>
      </c>
      <c r="E86"/>
      <c r="F86"/>
      <c r="G86"/>
      <c r="H86"/>
      <c r="I86"/>
      <c r="J86"/>
      <c r="K86"/>
      <c r="L86"/>
      <c r="M86" s="18" t="s">
        <v>123</v>
      </c>
      <c r="N86" t="s">
        <v>1246</v>
      </c>
      <c r="O86" t="s">
        <v>1395</v>
      </c>
      <c r="P86" s="1" t="s">
        <v>519</v>
      </c>
      <c r="Q86" s="13" t="s">
        <v>25</v>
      </c>
      <c r="R86">
        <v>1</v>
      </c>
      <c r="S86">
        <v>5000</v>
      </c>
      <c r="T86"/>
      <c r="U86" s="9" t="s">
        <v>451</v>
      </c>
      <c r="V86" s="9" t="s">
        <v>1177</v>
      </c>
      <c r="W86" s="9" t="s">
        <v>94</v>
      </c>
      <c r="X86" s="9"/>
    </row>
    <row r="87" spans="1:24">
      <c r="A87" s="13"/>
      <c r="B87" s="1"/>
      <c r="C87" s="1"/>
      <c r="D87" s="3" t="str">
        <f>SUBTOTAL(9,D81:D86)</f>
        <v>0</v>
      </c>
      <c r="E87"/>
      <c r="F87"/>
      <c r="G87"/>
      <c r="H87"/>
      <c r="I87"/>
      <c r="J87"/>
      <c r="K87"/>
      <c r="L87"/>
      <c r="M87" s="18" t="s">
        <v>124</v>
      </c>
      <c r="N87" t="s">
        <v>1408</v>
      </c>
      <c r="O87" t="s">
        <v>1395</v>
      </c>
      <c r="P87" s="1"/>
      <c r="Q87" s="13"/>
      <c r="R87"/>
      <c r="S87"/>
      <c r="T87"/>
      <c r="U87" s="9" t="s">
        <v>1054</v>
      </c>
      <c r="V87" s="9" t="s">
        <v>1178</v>
      </c>
      <c r="W87" s="9" t="s">
        <v>23</v>
      </c>
      <c r="X87" s="9"/>
    </row>
    <row r="88" spans="1:24">
      <c r="A88" s="13" t="s">
        <v>19</v>
      </c>
      <c r="B88" s="1"/>
      <c r="C88" s="1" t="s">
        <v>20</v>
      </c>
      <c r="D88" s="3">
        <v>128000</v>
      </c>
      <c r="E88"/>
      <c r="F88"/>
      <c r="G88"/>
      <c r="H88"/>
      <c r="I88"/>
      <c r="J88"/>
      <c r="K88"/>
      <c r="L88"/>
      <c r="M88" s="18" t="s">
        <v>125</v>
      </c>
      <c r="N88" t="s">
        <v>1268</v>
      </c>
      <c r="O88" t="s">
        <v>97</v>
      </c>
      <c r="P88" s="1" t="s">
        <v>520</v>
      </c>
      <c r="Q88" s="13" t="s">
        <v>25</v>
      </c>
      <c r="R88">
        <v>4</v>
      </c>
      <c r="S88">
        <v>32000</v>
      </c>
      <c r="T88"/>
      <c r="U88" s="9" t="s">
        <v>1055</v>
      </c>
      <c r="V88" s="9" t="s">
        <v>1179</v>
      </c>
      <c r="W88" s="9" t="s">
        <v>1395</v>
      </c>
      <c r="X88" s="9"/>
    </row>
    <row r="89" spans="1:24">
      <c r="A89" s="13" t="s">
        <v>19</v>
      </c>
      <c r="B89" s="1"/>
      <c r="C89" s="1" t="s">
        <v>20</v>
      </c>
      <c r="D89" s="3">
        <v>128000</v>
      </c>
      <c r="E89"/>
      <c r="F89"/>
      <c r="G89"/>
      <c r="H89"/>
      <c r="I89"/>
      <c r="J89"/>
      <c r="K89"/>
      <c r="L89"/>
      <c r="M89" s="18" t="s">
        <v>125</v>
      </c>
      <c r="N89" t="s">
        <v>1268</v>
      </c>
      <c r="O89" t="s">
        <v>97</v>
      </c>
      <c r="P89" s="1" t="s">
        <v>521</v>
      </c>
      <c r="Q89" s="13" t="s">
        <v>25</v>
      </c>
      <c r="R89">
        <v>4</v>
      </c>
      <c r="S89">
        <v>32000</v>
      </c>
      <c r="T89"/>
      <c r="U89" s="9" t="s">
        <v>1056</v>
      </c>
      <c r="V89" s="9" t="s">
        <v>1180</v>
      </c>
      <c r="W89" s="9" t="s">
        <v>23</v>
      </c>
      <c r="X89" s="9"/>
    </row>
    <row r="90" spans="1:24">
      <c r="A90" s="13" t="s">
        <v>19</v>
      </c>
      <c r="B90" s="1"/>
      <c r="C90" s="1" t="s">
        <v>20</v>
      </c>
      <c r="D90" s="3">
        <v>128000</v>
      </c>
      <c r="E90"/>
      <c r="F90"/>
      <c r="G90"/>
      <c r="H90"/>
      <c r="I90"/>
      <c r="J90"/>
      <c r="K90"/>
      <c r="L90"/>
      <c r="M90" s="18" t="s">
        <v>125</v>
      </c>
      <c r="N90" t="s">
        <v>1268</v>
      </c>
      <c r="O90" t="s">
        <v>97</v>
      </c>
      <c r="P90" s="1" t="s">
        <v>518</v>
      </c>
      <c r="Q90" s="13" t="s">
        <v>25</v>
      </c>
      <c r="R90">
        <v>4</v>
      </c>
      <c r="S90">
        <v>32000</v>
      </c>
      <c r="T90"/>
      <c r="U90" s="9" t="s">
        <v>1057</v>
      </c>
      <c r="V90" s="9" t="s">
        <v>1181</v>
      </c>
      <c r="W90" s="9"/>
      <c r="X90" s="9"/>
    </row>
    <row r="91" spans="1:24">
      <c r="A91" s="13" t="s">
        <v>19</v>
      </c>
      <c r="B91" s="1"/>
      <c r="C91" s="1" t="s">
        <v>29</v>
      </c>
      <c r="D91" s="3">
        <v>20000</v>
      </c>
      <c r="E91"/>
      <c r="F91"/>
      <c r="G91"/>
      <c r="H91"/>
      <c r="I91"/>
      <c r="J91"/>
      <c r="K91"/>
      <c r="L91"/>
      <c r="M91" s="18" t="s">
        <v>125</v>
      </c>
      <c r="N91" t="s">
        <v>1268</v>
      </c>
      <c r="O91" t="s">
        <v>97</v>
      </c>
      <c r="P91" s="1" t="s">
        <v>522</v>
      </c>
      <c r="Q91" s="13" t="s">
        <v>25</v>
      </c>
      <c r="R91">
        <v>4</v>
      </c>
      <c r="S91">
        <v>5000</v>
      </c>
      <c r="T91"/>
      <c r="U91" s="9" t="s">
        <v>1058</v>
      </c>
      <c r="V91" s="9" t="s">
        <v>1182</v>
      </c>
      <c r="W91" s="9"/>
      <c r="X91" s="9"/>
    </row>
    <row r="92" spans="1:24">
      <c r="A92" s="13" t="s">
        <v>19</v>
      </c>
      <c r="B92" s="1"/>
      <c r="C92" s="1" t="s">
        <v>29</v>
      </c>
      <c r="D92" s="3">
        <v>20000</v>
      </c>
      <c r="E92"/>
      <c r="F92"/>
      <c r="G92"/>
      <c r="H92"/>
      <c r="I92"/>
      <c r="J92"/>
      <c r="K92"/>
      <c r="L92"/>
      <c r="M92" s="18" t="s">
        <v>125</v>
      </c>
      <c r="N92" t="s">
        <v>1268</v>
      </c>
      <c r="O92" t="s">
        <v>97</v>
      </c>
      <c r="P92" s="1" t="s">
        <v>523</v>
      </c>
      <c r="Q92" s="13" t="s">
        <v>25</v>
      </c>
      <c r="R92">
        <v>4</v>
      </c>
      <c r="S92">
        <v>5000</v>
      </c>
      <c r="T92"/>
      <c r="U92" s="9" t="s">
        <v>1059</v>
      </c>
      <c r="V92" s="9" t="s">
        <v>1183</v>
      </c>
      <c r="W92" s="9" t="s">
        <v>94</v>
      </c>
      <c r="X92" s="9"/>
    </row>
    <row r="93" spans="1:24">
      <c r="A93" s="13" t="s">
        <v>19</v>
      </c>
      <c r="B93" s="1"/>
      <c r="C93" s="1" t="s">
        <v>29</v>
      </c>
      <c r="D93" s="3">
        <v>20000</v>
      </c>
      <c r="E93"/>
      <c r="F93"/>
      <c r="G93"/>
      <c r="H93"/>
      <c r="I93"/>
      <c r="J93"/>
      <c r="K93"/>
      <c r="L93"/>
      <c r="M93" s="18" t="s">
        <v>125</v>
      </c>
      <c r="N93" t="s">
        <v>1268</v>
      </c>
      <c r="O93" t="s">
        <v>97</v>
      </c>
      <c r="P93" s="1" t="s">
        <v>519</v>
      </c>
      <c r="Q93" s="13" t="s">
        <v>25</v>
      </c>
      <c r="R93">
        <v>4</v>
      </c>
      <c r="S93">
        <v>5000</v>
      </c>
      <c r="T93"/>
      <c r="U93" s="9" t="s">
        <v>1060</v>
      </c>
      <c r="V93" s="9" t="s">
        <v>1184</v>
      </c>
      <c r="W93" s="9" t="s">
        <v>94</v>
      </c>
      <c r="X93" s="9"/>
    </row>
    <row r="94" spans="1:24">
      <c r="A94" s="13"/>
      <c r="B94" s="1"/>
      <c r="C94" s="1"/>
      <c r="D94" s="3" t="str">
        <f>SUBTOTAL(9,D88:D93)</f>
        <v>0</v>
      </c>
      <c r="E94"/>
      <c r="F94"/>
      <c r="G94"/>
      <c r="H94"/>
      <c r="I94"/>
      <c r="J94"/>
      <c r="K94"/>
      <c r="L94"/>
      <c r="M94" s="18" t="s">
        <v>126</v>
      </c>
      <c r="N94" t="s">
        <v>1409</v>
      </c>
      <c r="O94" t="s">
        <v>97</v>
      </c>
      <c r="P94" s="1"/>
      <c r="Q94" s="13"/>
      <c r="R94"/>
      <c r="S94"/>
      <c r="T94"/>
      <c r="U94" s="9" t="s">
        <v>1061</v>
      </c>
      <c r="V94" s="9" t="s">
        <v>1185</v>
      </c>
      <c r="W94" s="9" t="s">
        <v>94</v>
      </c>
      <c r="X94" s="9"/>
    </row>
    <row r="95" spans="1:24">
      <c r="A95" s="13" t="s">
        <v>19</v>
      </c>
      <c r="B95" s="1"/>
      <c r="C95" s="1" t="s">
        <v>20</v>
      </c>
      <c r="D95" s="3">
        <v>60000</v>
      </c>
      <c r="E95"/>
      <c r="F95"/>
      <c r="G95"/>
      <c r="H95"/>
      <c r="I95"/>
      <c r="J95"/>
      <c r="K95"/>
      <c r="L95"/>
      <c r="M95" s="18" t="s">
        <v>127</v>
      </c>
      <c r="N95" t="s">
        <v>1289</v>
      </c>
      <c r="O95" t="s">
        <v>96</v>
      </c>
      <c r="P95" s="1" t="s">
        <v>24</v>
      </c>
      <c r="Q95" s="13" t="s">
        <v>25</v>
      </c>
      <c r="R95">
        <v>2</v>
      </c>
      <c r="S95">
        <v>30000</v>
      </c>
      <c r="T95"/>
      <c r="U95" s="9" t="s">
        <v>1062</v>
      </c>
      <c r="V95" s="9" t="s">
        <v>1186</v>
      </c>
      <c r="W95" s="9" t="s">
        <v>94</v>
      </c>
      <c r="X95" s="9"/>
    </row>
    <row r="96" spans="1:24">
      <c r="A96" s="13" t="s">
        <v>19</v>
      </c>
      <c r="B96" s="1"/>
      <c r="C96" s="1" t="s">
        <v>20</v>
      </c>
      <c r="D96" s="3">
        <v>60000</v>
      </c>
      <c r="E96"/>
      <c r="F96"/>
      <c r="G96"/>
      <c r="H96"/>
      <c r="I96"/>
      <c r="J96"/>
      <c r="K96"/>
      <c r="L96"/>
      <c r="M96" s="18" t="s">
        <v>127</v>
      </c>
      <c r="N96" t="s">
        <v>1289</v>
      </c>
      <c r="O96" t="s">
        <v>96</v>
      </c>
      <c r="P96" s="1" t="s">
        <v>24</v>
      </c>
      <c r="Q96" s="13" t="s">
        <v>25</v>
      </c>
      <c r="R96">
        <v>2</v>
      </c>
      <c r="S96">
        <v>30000</v>
      </c>
      <c r="T96"/>
      <c r="U96" s="9" t="s">
        <v>1063</v>
      </c>
      <c r="V96" s="9" t="s">
        <v>1187</v>
      </c>
      <c r="W96" s="9" t="s">
        <v>94</v>
      </c>
      <c r="X96" s="9"/>
    </row>
    <row r="97" spans="1:24">
      <c r="A97" s="13" t="s">
        <v>19</v>
      </c>
      <c r="B97" s="1"/>
      <c r="C97" s="1" t="s">
        <v>20</v>
      </c>
      <c r="D97" s="3">
        <v>32000</v>
      </c>
      <c r="E97"/>
      <c r="F97"/>
      <c r="G97"/>
      <c r="H97"/>
      <c r="I97"/>
      <c r="J97"/>
      <c r="K97"/>
      <c r="L97"/>
      <c r="M97" s="18" t="s">
        <v>127</v>
      </c>
      <c r="N97" t="s">
        <v>1289</v>
      </c>
      <c r="O97" t="s">
        <v>96</v>
      </c>
      <c r="P97" s="1" t="s">
        <v>24</v>
      </c>
      <c r="Q97" s="13" t="s">
        <v>25</v>
      </c>
      <c r="R97">
        <v>1</v>
      </c>
      <c r="S97">
        <v>32000</v>
      </c>
      <c r="T97"/>
      <c r="U97" s="9" t="s">
        <v>1064</v>
      </c>
      <c r="V97" s="9" t="s">
        <v>1188</v>
      </c>
      <c r="W97" s="9" t="s">
        <v>94</v>
      </c>
      <c r="X97" s="9"/>
    </row>
    <row r="98" spans="1:24">
      <c r="A98" s="13" t="s">
        <v>19</v>
      </c>
      <c r="B98" s="1"/>
      <c r="C98" s="1" t="s">
        <v>20</v>
      </c>
      <c r="D98" s="3">
        <v>32000</v>
      </c>
      <c r="E98"/>
      <c r="F98"/>
      <c r="G98"/>
      <c r="H98"/>
      <c r="I98"/>
      <c r="J98"/>
      <c r="K98"/>
      <c r="L98"/>
      <c r="M98" s="18" t="s">
        <v>127</v>
      </c>
      <c r="N98" t="s">
        <v>1289</v>
      </c>
      <c r="O98" t="s">
        <v>96</v>
      </c>
      <c r="P98" s="1" t="s">
        <v>24</v>
      </c>
      <c r="Q98" s="13" t="s">
        <v>25</v>
      </c>
      <c r="R98">
        <v>1</v>
      </c>
      <c r="S98">
        <v>32000</v>
      </c>
      <c r="T98"/>
      <c r="U98" s="9" t="s">
        <v>1065</v>
      </c>
      <c r="V98" s="9" t="s">
        <v>1189</v>
      </c>
      <c r="W98" s="9" t="s">
        <v>94</v>
      </c>
      <c r="X98" s="9"/>
    </row>
    <row r="99" spans="1:24">
      <c r="A99" s="13" t="s">
        <v>19</v>
      </c>
      <c r="B99" s="1"/>
      <c r="C99" s="1" t="s">
        <v>20</v>
      </c>
      <c r="D99" s="3">
        <v>30000</v>
      </c>
      <c r="E99"/>
      <c r="F99"/>
      <c r="G99"/>
      <c r="H99"/>
      <c r="I99"/>
      <c r="J99"/>
      <c r="K99"/>
      <c r="L99"/>
      <c r="M99" s="18" t="s">
        <v>127</v>
      </c>
      <c r="N99" t="s">
        <v>1289</v>
      </c>
      <c r="O99" t="s">
        <v>96</v>
      </c>
      <c r="P99" s="1" t="s">
        <v>24</v>
      </c>
      <c r="Q99" s="13" t="s">
        <v>25</v>
      </c>
      <c r="R99">
        <v>1</v>
      </c>
      <c r="S99">
        <v>30000</v>
      </c>
      <c r="T99"/>
      <c r="U99" s="9" t="s">
        <v>1066</v>
      </c>
      <c r="V99" s="9" t="s">
        <v>1190</v>
      </c>
      <c r="W99" s="9" t="s">
        <v>94</v>
      </c>
      <c r="X99" s="9"/>
    </row>
    <row r="100" spans="1:24">
      <c r="A100" s="13" t="s">
        <v>19</v>
      </c>
      <c r="B100" s="1"/>
      <c r="C100" s="1" t="s">
        <v>20</v>
      </c>
      <c r="D100" s="3">
        <v>90000</v>
      </c>
      <c r="E100"/>
      <c r="F100"/>
      <c r="G100"/>
      <c r="H100"/>
      <c r="I100"/>
      <c r="J100"/>
      <c r="K100"/>
      <c r="L100"/>
      <c r="M100" s="18" t="s">
        <v>127</v>
      </c>
      <c r="N100" t="s">
        <v>1289</v>
      </c>
      <c r="O100" t="s">
        <v>96</v>
      </c>
      <c r="P100" s="1" t="s">
        <v>24</v>
      </c>
      <c r="Q100" s="13" t="s">
        <v>25</v>
      </c>
      <c r="R100">
        <v>3</v>
      </c>
      <c r="S100">
        <v>30000</v>
      </c>
      <c r="T100"/>
      <c r="U100" s="9" t="s">
        <v>1067</v>
      </c>
      <c r="V100" s="9" t="s">
        <v>1191</v>
      </c>
      <c r="W100" s="9"/>
      <c r="X100" s="9"/>
    </row>
    <row r="101" spans="1:24">
      <c r="A101" s="13" t="s">
        <v>19</v>
      </c>
      <c r="B101" s="1"/>
      <c r="C101" s="1" t="s">
        <v>20</v>
      </c>
      <c r="D101" s="3">
        <v>30000</v>
      </c>
      <c r="E101"/>
      <c r="F101"/>
      <c r="G101"/>
      <c r="H101"/>
      <c r="I101"/>
      <c r="J101"/>
      <c r="K101"/>
      <c r="L101"/>
      <c r="M101" s="18" t="s">
        <v>127</v>
      </c>
      <c r="N101" t="s">
        <v>1289</v>
      </c>
      <c r="O101" t="s">
        <v>96</v>
      </c>
      <c r="P101" s="1" t="s">
        <v>24</v>
      </c>
      <c r="Q101" s="13" t="s">
        <v>25</v>
      </c>
      <c r="R101">
        <v>1</v>
      </c>
      <c r="S101">
        <v>30000</v>
      </c>
      <c r="T101"/>
      <c r="U101" s="9" t="s">
        <v>1068</v>
      </c>
      <c r="V101" s="9" t="s">
        <v>1192</v>
      </c>
      <c r="W101" s="9"/>
      <c r="X101" s="9"/>
    </row>
    <row r="102" spans="1:24">
      <c r="A102" s="13" t="s">
        <v>19</v>
      </c>
      <c r="B102" s="1"/>
      <c r="C102" s="1" t="s">
        <v>20</v>
      </c>
      <c r="D102" s="3">
        <v>60000</v>
      </c>
      <c r="E102"/>
      <c r="F102"/>
      <c r="G102"/>
      <c r="H102"/>
      <c r="I102"/>
      <c r="J102"/>
      <c r="K102"/>
      <c r="L102"/>
      <c r="M102" s="18" t="s">
        <v>127</v>
      </c>
      <c r="N102" t="s">
        <v>1289</v>
      </c>
      <c r="O102" t="s">
        <v>96</v>
      </c>
      <c r="P102" s="1" t="s">
        <v>24</v>
      </c>
      <c r="Q102" s="13" t="s">
        <v>25</v>
      </c>
      <c r="R102">
        <v>2</v>
      </c>
      <c r="S102">
        <v>30000</v>
      </c>
      <c r="T102"/>
      <c r="U102" s="9" t="s">
        <v>251</v>
      </c>
      <c r="V102" s="9" t="s">
        <v>1193</v>
      </c>
      <c r="W102" s="9" t="s">
        <v>1395</v>
      </c>
      <c r="X102" s="9"/>
    </row>
    <row r="103" spans="1:24">
      <c r="A103" s="13" t="s">
        <v>19</v>
      </c>
      <c r="B103" s="1"/>
      <c r="C103" s="1" t="s">
        <v>26</v>
      </c>
      <c r="D103" s="3">
        <v>111000</v>
      </c>
      <c r="E103"/>
      <c r="F103"/>
      <c r="G103"/>
      <c r="H103"/>
      <c r="I103"/>
      <c r="J103"/>
      <c r="K103"/>
      <c r="L103"/>
      <c r="M103" s="18" t="s">
        <v>127</v>
      </c>
      <c r="N103" t="s">
        <v>1289</v>
      </c>
      <c r="O103" t="s">
        <v>96</v>
      </c>
      <c r="P103" s="1" t="s">
        <v>524</v>
      </c>
      <c r="Q103" s="13" t="s">
        <v>25</v>
      </c>
      <c r="R103">
        <v>3</v>
      </c>
      <c r="S103">
        <v>37000</v>
      </c>
      <c r="T103"/>
      <c r="U103" s="9" t="s">
        <v>1069</v>
      </c>
      <c r="V103" s="9" t="s">
        <v>1193</v>
      </c>
      <c r="W103" s="9"/>
      <c r="X103" s="9"/>
    </row>
    <row r="104" spans="1:24">
      <c r="A104" s="13" t="s">
        <v>19</v>
      </c>
      <c r="B104" s="1"/>
      <c r="C104" s="1" t="s">
        <v>29</v>
      </c>
      <c r="D104" s="3">
        <v>10000</v>
      </c>
      <c r="E104"/>
      <c r="F104"/>
      <c r="G104"/>
      <c r="H104"/>
      <c r="I104"/>
      <c r="J104"/>
      <c r="K104"/>
      <c r="L104"/>
      <c r="M104" s="18" t="s">
        <v>127</v>
      </c>
      <c r="N104" t="s">
        <v>1289</v>
      </c>
      <c r="O104" t="s">
        <v>96</v>
      </c>
      <c r="P104" s="1" t="s">
        <v>30</v>
      </c>
      <c r="Q104" s="13" t="s">
        <v>25</v>
      </c>
      <c r="R104">
        <v>2</v>
      </c>
      <c r="S104">
        <v>5000</v>
      </c>
      <c r="T104"/>
      <c r="U104" s="9" t="s">
        <v>349</v>
      </c>
      <c r="V104" s="9" t="s">
        <v>1194</v>
      </c>
      <c r="W104" s="9" t="s">
        <v>98</v>
      </c>
      <c r="X104" s="9"/>
    </row>
    <row r="105" spans="1:24">
      <c r="A105" s="13" t="s">
        <v>19</v>
      </c>
      <c r="B105" s="1"/>
      <c r="C105" s="1" t="s">
        <v>29</v>
      </c>
      <c r="D105" s="3">
        <v>10000</v>
      </c>
      <c r="E105"/>
      <c r="F105"/>
      <c r="G105"/>
      <c r="H105"/>
      <c r="I105"/>
      <c r="J105"/>
      <c r="K105"/>
      <c r="L105"/>
      <c r="M105" s="18" t="s">
        <v>127</v>
      </c>
      <c r="N105" t="s">
        <v>1289</v>
      </c>
      <c r="O105" t="s">
        <v>96</v>
      </c>
      <c r="P105" s="1" t="s">
        <v>30</v>
      </c>
      <c r="Q105" s="13" t="s">
        <v>25</v>
      </c>
      <c r="R105">
        <v>2</v>
      </c>
      <c r="S105">
        <v>5000</v>
      </c>
      <c r="T105"/>
      <c r="U105" s="9" t="s">
        <v>229</v>
      </c>
      <c r="V105" s="9" t="s">
        <v>1195</v>
      </c>
      <c r="W105" s="9" t="s">
        <v>96</v>
      </c>
      <c r="X105" s="9"/>
    </row>
    <row r="106" spans="1:24">
      <c r="A106" s="13" t="s">
        <v>19</v>
      </c>
      <c r="B106" s="1"/>
      <c r="C106" s="1" t="s">
        <v>29</v>
      </c>
      <c r="D106" s="3">
        <v>5000</v>
      </c>
      <c r="E106"/>
      <c r="F106"/>
      <c r="G106"/>
      <c r="H106"/>
      <c r="I106"/>
      <c r="J106"/>
      <c r="K106"/>
      <c r="L106"/>
      <c r="M106" s="18" t="s">
        <v>127</v>
      </c>
      <c r="N106" t="s">
        <v>1289</v>
      </c>
      <c r="O106" t="s">
        <v>96</v>
      </c>
      <c r="P106" s="1" t="s">
        <v>30</v>
      </c>
      <c r="Q106" s="13" t="s">
        <v>25</v>
      </c>
      <c r="R106">
        <v>1</v>
      </c>
      <c r="S106">
        <v>5000</v>
      </c>
      <c r="T106"/>
      <c r="U106" s="9" t="s">
        <v>355</v>
      </c>
      <c r="V106" s="9" t="s">
        <v>1196</v>
      </c>
      <c r="W106" s="9" t="s">
        <v>98</v>
      </c>
      <c r="X106" s="9"/>
    </row>
    <row r="107" spans="1:24">
      <c r="A107" s="13" t="s">
        <v>19</v>
      </c>
      <c r="B107" s="1"/>
      <c r="C107" s="1" t="s">
        <v>29</v>
      </c>
      <c r="D107" s="3">
        <v>5000</v>
      </c>
      <c r="E107"/>
      <c r="F107"/>
      <c r="G107"/>
      <c r="H107"/>
      <c r="I107"/>
      <c r="J107"/>
      <c r="K107"/>
      <c r="L107"/>
      <c r="M107" s="18" t="s">
        <v>127</v>
      </c>
      <c r="N107" t="s">
        <v>1289</v>
      </c>
      <c r="O107" t="s">
        <v>96</v>
      </c>
      <c r="P107" s="1" t="s">
        <v>30</v>
      </c>
      <c r="Q107" s="13" t="s">
        <v>25</v>
      </c>
      <c r="R107">
        <v>1</v>
      </c>
      <c r="S107">
        <v>5000</v>
      </c>
      <c r="T107"/>
      <c r="U107" s="9" t="s">
        <v>1070</v>
      </c>
      <c r="V107" s="9" t="s">
        <v>1197</v>
      </c>
      <c r="W107" s="9"/>
      <c r="X107" s="9"/>
    </row>
    <row r="108" spans="1:24">
      <c r="A108" s="13" t="s">
        <v>19</v>
      </c>
      <c r="B108" s="1"/>
      <c r="C108" s="1" t="s">
        <v>29</v>
      </c>
      <c r="D108" s="3">
        <v>5000</v>
      </c>
      <c r="E108"/>
      <c r="F108"/>
      <c r="G108"/>
      <c r="H108"/>
      <c r="I108"/>
      <c r="J108"/>
      <c r="K108"/>
      <c r="L108"/>
      <c r="M108" s="18" t="s">
        <v>127</v>
      </c>
      <c r="N108" t="s">
        <v>1289</v>
      </c>
      <c r="O108" t="s">
        <v>96</v>
      </c>
      <c r="P108" s="1" t="s">
        <v>30</v>
      </c>
      <c r="Q108" s="13" t="s">
        <v>25</v>
      </c>
      <c r="R108">
        <v>1</v>
      </c>
      <c r="S108">
        <v>5000</v>
      </c>
      <c r="T108"/>
      <c r="U108" s="9" t="s">
        <v>1071</v>
      </c>
      <c r="V108" s="9" t="s">
        <v>1198</v>
      </c>
      <c r="W108" s="9"/>
      <c r="X108" s="9"/>
    </row>
    <row r="109" spans="1:24">
      <c r="A109" s="13" t="s">
        <v>19</v>
      </c>
      <c r="B109" s="1"/>
      <c r="C109" s="1" t="s">
        <v>29</v>
      </c>
      <c r="D109" s="3">
        <v>15000</v>
      </c>
      <c r="E109"/>
      <c r="F109"/>
      <c r="G109"/>
      <c r="H109"/>
      <c r="I109"/>
      <c r="J109"/>
      <c r="K109"/>
      <c r="L109"/>
      <c r="M109" s="18" t="s">
        <v>127</v>
      </c>
      <c r="N109" t="s">
        <v>1289</v>
      </c>
      <c r="O109" t="s">
        <v>96</v>
      </c>
      <c r="P109" s="1" t="s">
        <v>30</v>
      </c>
      <c r="Q109" s="13" t="s">
        <v>25</v>
      </c>
      <c r="R109">
        <v>3</v>
      </c>
      <c r="S109">
        <v>5000</v>
      </c>
      <c r="T109"/>
      <c r="U109" s="9" t="s">
        <v>469</v>
      </c>
      <c r="V109" s="9" t="s">
        <v>1199</v>
      </c>
      <c r="W109" s="9"/>
      <c r="X109" s="9"/>
    </row>
    <row r="110" spans="1:24">
      <c r="A110" s="13" t="s">
        <v>19</v>
      </c>
      <c r="B110" s="1"/>
      <c r="C110" s="1" t="s">
        <v>29</v>
      </c>
      <c r="D110" s="3">
        <v>5000</v>
      </c>
      <c r="E110"/>
      <c r="F110"/>
      <c r="G110"/>
      <c r="H110"/>
      <c r="I110"/>
      <c r="J110"/>
      <c r="K110"/>
      <c r="L110"/>
      <c r="M110" s="18" t="s">
        <v>127</v>
      </c>
      <c r="N110" t="s">
        <v>1289</v>
      </c>
      <c r="O110" t="s">
        <v>96</v>
      </c>
      <c r="P110" s="1" t="s">
        <v>30</v>
      </c>
      <c r="Q110" s="13" t="s">
        <v>25</v>
      </c>
      <c r="R110">
        <v>1</v>
      </c>
      <c r="S110">
        <v>5000</v>
      </c>
      <c r="T110"/>
      <c r="U110" s="9" t="s">
        <v>279</v>
      </c>
      <c r="V110" s="9" t="s">
        <v>279</v>
      </c>
      <c r="W110" s="9" t="s">
        <v>96</v>
      </c>
      <c r="X110" s="9"/>
    </row>
    <row r="111" spans="1:24">
      <c r="A111" s="13" t="s">
        <v>19</v>
      </c>
      <c r="B111" s="1"/>
      <c r="C111" s="1" t="s">
        <v>29</v>
      </c>
      <c r="D111" s="3">
        <v>10000</v>
      </c>
      <c r="E111"/>
      <c r="F111"/>
      <c r="G111"/>
      <c r="H111"/>
      <c r="I111"/>
      <c r="J111"/>
      <c r="K111"/>
      <c r="L111"/>
      <c r="M111" s="18" t="s">
        <v>127</v>
      </c>
      <c r="N111" t="s">
        <v>1289</v>
      </c>
      <c r="O111" t="s">
        <v>96</v>
      </c>
      <c r="P111" s="1" t="s">
        <v>30</v>
      </c>
      <c r="Q111" s="13" t="s">
        <v>25</v>
      </c>
      <c r="R111">
        <v>2</v>
      </c>
      <c r="S111">
        <v>5000</v>
      </c>
      <c r="T111"/>
      <c r="U111" s="9" t="s">
        <v>283</v>
      </c>
      <c r="V111" s="9" t="s">
        <v>1200</v>
      </c>
      <c r="W111" s="9" t="s">
        <v>1395</v>
      </c>
      <c r="X111" s="9"/>
    </row>
    <row r="112" spans="1:24">
      <c r="A112" s="13" t="s">
        <v>19</v>
      </c>
      <c r="B112" s="1"/>
      <c r="C112" s="1" t="s">
        <v>32</v>
      </c>
      <c r="D112" s="3">
        <v>15000</v>
      </c>
      <c r="E112"/>
      <c r="F112"/>
      <c r="G112"/>
      <c r="H112"/>
      <c r="I112"/>
      <c r="J112"/>
      <c r="K112"/>
      <c r="L112"/>
      <c r="M112" s="18" t="s">
        <v>127</v>
      </c>
      <c r="N112" t="s">
        <v>1289</v>
      </c>
      <c r="O112" t="s">
        <v>96</v>
      </c>
      <c r="P112" s="1" t="s">
        <v>525</v>
      </c>
      <c r="Q112" s="13" t="s">
        <v>25</v>
      </c>
      <c r="R112">
        <v>3</v>
      </c>
      <c r="S112">
        <v>5000</v>
      </c>
      <c r="T112"/>
      <c r="U112" s="9" t="s">
        <v>115</v>
      </c>
      <c r="V112" s="9" t="s">
        <v>1201</v>
      </c>
      <c r="W112" s="9" t="s">
        <v>98</v>
      </c>
      <c r="X112" s="9"/>
    </row>
    <row r="113" spans="1:24">
      <c r="A113" s="13"/>
      <c r="B113" s="1"/>
      <c r="C113" s="1"/>
      <c r="D113" s="3" t="str">
        <f>SUBTOTAL(9,D95:D112)</f>
        <v>0</v>
      </c>
      <c r="E113"/>
      <c r="F113"/>
      <c r="G113"/>
      <c r="H113"/>
      <c r="I113"/>
      <c r="J113"/>
      <c r="K113"/>
      <c r="L113"/>
      <c r="M113" s="18" t="s">
        <v>128</v>
      </c>
      <c r="N113" t="s">
        <v>1410</v>
      </c>
      <c r="O113" t="s">
        <v>96</v>
      </c>
      <c r="P113" s="1"/>
      <c r="Q113" s="13"/>
      <c r="R113"/>
      <c r="S113"/>
      <c r="T113"/>
      <c r="U113" s="9" t="s">
        <v>117</v>
      </c>
      <c r="V113" s="9" t="s">
        <v>1202</v>
      </c>
      <c r="W113" s="9" t="s">
        <v>1395</v>
      </c>
      <c r="X113" s="9"/>
    </row>
    <row r="114" spans="1:24">
      <c r="A114" s="13" t="s">
        <v>19</v>
      </c>
      <c r="B114" s="1"/>
      <c r="C114" s="1" t="s">
        <v>20</v>
      </c>
      <c r="D114" s="3">
        <v>64000</v>
      </c>
      <c r="E114"/>
      <c r="F114"/>
      <c r="G114"/>
      <c r="H114"/>
      <c r="I114"/>
      <c r="J114"/>
      <c r="K114"/>
      <c r="L114"/>
      <c r="M114" s="18" t="s">
        <v>129</v>
      </c>
      <c r="N114" t="s">
        <v>1294</v>
      </c>
      <c r="O114" t="s">
        <v>1395</v>
      </c>
      <c r="P114" s="1" t="s">
        <v>526</v>
      </c>
      <c r="Q114" s="13" t="s">
        <v>25</v>
      </c>
      <c r="R114">
        <v>2</v>
      </c>
      <c r="S114">
        <v>32000</v>
      </c>
      <c r="T114"/>
      <c r="U114" s="9" t="s">
        <v>119</v>
      </c>
      <c r="V114" s="9" t="s">
        <v>1203</v>
      </c>
      <c r="W114" s="9"/>
      <c r="X114" s="9"/>
    </row>
    <row r="115" spans="1:24">
      <c r="A115" s="13" t="s">
        <v>19</v>
      </c>
      <c r="B115" s="1"/>
      <c r="C115" s="1" t="s">
        <v>20</v>
      </c>
      <c r="D115" s="3">
        <v>32000</v>
      </c>
      <c r="E115"/>
      <c r="F115"/>
      <c r="G115"/>
      <c r="H115"/>
      <c r="I115"/>
      <c r="J115"/>
      <c r="K115"/>
      <c r="L115"/>
      <c r="M115" s="18" t="s">
        <v>129</v>
      </c>
      <c r="N115" t="s">
        <v>1294</v>
      </c>
      <c r="O115" t="s">
        <v>1395</v>
      </c>
      <c r="P115" s="1" t="s">
        <v>527</v>
      </c>
      <c r="Q115" s="13" t="s">
        <v>25</v>
      </c>
      <c r="R115">
        <v>1</v>
      </c>
      <c r="S115">
        <v>32000</v>
      </c>
      <c r="T115"/>
      <c r="U115" s="9" t="s">
        <v>1072</v>
      </c>
      <c r="V115" s="9" t="s">
        <v>1204</v>
      </c>
      <c r="W115" s="9" t="s">
        <v>97</v>
      </c>
      <c r="X115" s="9"/>
    </row>
    <row r="116" spans="1:24">
      <c r="A116" s="13" t="s">
        <v>19</v>
      </c>
      <c r="B116" s="1"/>
      <c r="C116" s="1" t="s">
        <v>29</v>
      </c>
      <c r="D116" s="3">
        <v>10000</v>
      </c>
      <c r="E116"/>
      <c r="F116"/>
      <c r="G116"/>
      <c r="H116"/>
      <c r="I116"/>
      <c r="J116"/>
      <c r="K116"/>
      <c r="L116"/>
      <c r="M116" s="18" t="s">
        <v>129</v>
      </c>
      <c r="N116" t="s">
        <v>1294</v>
      </c>
      <c r="O116" t="s">
        <v>1395</v>
      </c>
      <c r="P116" s="1" t="s">
        <v>528</v>
      </c>
      <c r="Q116" s="13" t="s">
        <v>25</v>
      </c>
      <c r="R116">
        <v>2</v>
      </c>
      <c r="S116">
        <v>5000</v>
      </c>
      <c r="T116"/>
      <c r="U116" s="9" t="s">
        <v>1073</v>
      </c>
      <c r="V116" s="9" t="s">
        <v>1205</v>
      </c>
      <c r="W116" s="9" t="s">
        <v>97</v>
      </c>
      <c r="X116" s="9"/>
    </row>
    <row r="117" spans="1:24">
      <c r="A117" s="13" t="s">
        <v>19</v>
      </c>
      <c r="B117" s="1"/>
      <c r="C117" s="1" t="s">
        <v>29</v>
      </c>
      <c r="D117" s="3">
        <v>5000</v>
      </c>
      <c r="E117"/>
      <c r="F117"/>
      <c r="G117"/>
      <c r="H117"/>
      <c r="I117"/>
      <c r="J117"/>
      <c r="K117"/>
      <c r="L117"/>
      <c r="M117" s="18" t="s">
        <v>129</v>
      </c>
      <c r="N117" t="s">
        <v>1294</v>
      </c>
      <c r="O117" t="s">
        <v>1395</v>
      </c>
      <c r="P117" s="1" t="s">
        <v>529</v>
      </c>
      <c r="Q117" s="13" t="s">
        <v>25</v>
      </c>
      <c r="R117">
        <v>1</v>
      </c>
      <c r="S117">
        <v>5000</v>
      </c>
      <c r="T117"/>
      <c r="U117" s="9" t="s">
        <v>1074</v>
      </c>
      <c r="V117" s="9" t="s">
        <v>1206</v>
      </c>
      <c r="W117" s="9" t="s">
        <v>97</v>
      </c>
      <c r="X117" s="9"/>
    </row>
    <row r="118" spans="1:24">
      <c r="A118" s="13"/>
      <c r="B118" s="1"/>
      <c r="C118" s="1"/>
      <c r="D118" s="3" t="str">
        <f>SUBTOTAL(9,D114:D117)</f>
        <v>0</v>
      </c>
      <c r="E118"/>
      <c r="F118"/>
      <c r="G118"/>
      <c r="H118"/>
      <c r="I118"/>
      <c r="J118"/>
      <c r="K118"/>
      <c r="L118"/>
      <c r="M118" s="18" t="s">
        <v>130</v>
      </c>
      <c r="N118" t="s">
        <v>1411</v>
      </c>
      <c r="O118" t="s">
        <v>1395</v>
      </c>
      <c r="P118" s="1"/>
      <c r="Q118" s="13"/>
      <c r="R118"/>
      <c r="S118"/>
      <c r="T118"/>
      <c r="U118" s="9" t="s">
        <v>1075</v>
      </c>
      <c r="V118" s="9" t="s">
        <v>1207</v>
      </c>
      <c r="W118" s="9" t="s">
        <v>97</v>
      </c>
      <c r="X118" s="9"/>
    </row>
    <row r="119" spans="1:24">
      <c r="A119" s="13" t="s">
        <v>19</v>
      </c>
      <c r="B119" s="1"/>
      <c r="C119" s="1" t="s">
        <v>26</v>
      </c>
      <c r="D119" s="3">
        <v>37000</v>
      </c>
      <c r="E119"/>
      <c r="F119"/>
      <c r="G119"/>
      <c r="H119"/>
      <c r="I119"/>
      <c r="J119"/>
      <c r="K119"/>
      <c r="L119"/>
      <c r="M119" s="18" t="s">
        <v>131</v>
      </c>
      <c r="N119" t="s">
        <v>1304</v>
      </c>
      <c r="O119" t="s">
        <v>1395</v>
      </c>
      <c r="P119" s="1" t="s">
        <v>530</v>
      </c>
      <c r="Q119" s="13" t="s">
        <v>25</v>
      </c>
      <c r="R119">
        <v>1</v>
      </c>
      <c r="S119">
        <v>37000</v>
      </c>
      <c r="T119"/>
      <c r="U119" s="9" t="s">
        <v>381</v>
      </c>
      <c r="V119" s="9" t="s">
        <v>1208</v>
      </c>
      <c r="W119" s="9" t="s">
        <v>1395</v>
      </c>
      <c r="X119" s="9"/>
    </row>
    <row r="120" spans="1:24">
      <c r="A120" s="13" t="s">
        <v>19</v>
      </c>
      <c r="B120" s="1"/>
      <c r="C120" s="1" t="s">
        <v>32</v>
      </c>
      <c r="D120" s="3">
        <v>5000</v>
      </c>
      <c r="E120"/>
      <c r="F120"/>
      <c r="G120"/>
      <c r="H120"/>
      <c r="I120"/>
      <c r="J120"/>
      <c r="K120"/>
      <c r="L120"/>
      <c r="M120" s="18" t="s">
        <v>131</v>
      </c>
      <c r="N120" t="s">
        <v>1304</v>
      </c>
      <c r="O120" t="s">
        <v>1395</v>
      </c>
      <c r="P120" s="1" t="s">
        <v>531</v>
      </c>
      <c r="Q120" s="13" t="s">
        <v>25</v>
      </c>
      <c r="R120">
        <v>1</v>
      </c>
      <c r="S120">
        <v>5000</v>
      </c>
      <c r="T120"/>
      <c r="U120" s="9" t="s">
        <v>383</v>
      </c>
      <c r="V120" s="9" t="s">
        <v>1209</v>
      </c>
      <c r="W120" s="9" t="s">
        <v>23</v>
      </c>
      <c r="X120" s="9"/>
    </row>
    <row r="121" spans="1:24">
      <c r="A121" s="13"/>
      <c r="B121" s="1"/>
      <c r="C121" s="1"/>
      <c r="D121" s="3" t="str">
        <f>SUBTOTAL(9,D119:D120)</f>
        <v>0</v>
      </c>
      <c r="E121"/>
      <c r="F121"/>
      <c r="G121"/>
      <c r="H121"/>
      <c r="I121"/>
      <c r="J121"/>
      <c r="K121"/>
      <c r="L121"/>
      <c r="M121" s="18" t="s">
        <v>132</v>
      </c>
      <c r="N121" t="s">
        <v>1412</v>
      </c>
      <c r="O121" t="s">
        <v>1395</v>
      </c>
      <c r="P121" s="1"/>
      <c r="Q121" s="13"/>
      <c r="R121"/>
      <c r="S121"/>
      <c r="T121"/>
      <c r="U121" s="9" t="s">
        <v>297</v>
      </c>
      <c r="V121" s="9" t="s">
        <v>1210</v>
      </c>
      <c r="W121" s="9" t="s">
        <v>1395</v>
      </c>
      <c r="X121" s="9"/>
    </row>
    <row r="122" spans="1:24">
      <c r="A122" s="13" t="s">
        <v>19</v>
      </c>
      <c r="B122" s="1"/>
      <c r="C122" s="1" t="s">
        <v>20</v>
      </c>
      <c r="D122" s="3">
        <v>80000</v>
      </c>
      <c r="E122"/>
      <c r="F122"/>
      <c r="G122"/>
      <c r="H122"/>
      <c r="I122"/>
      <c r="J122"/>
      <c r="K122"/>
      <c r="L122"/>
      <c r="M122" s="18" t="s">
        <v>133</v>
      </c>
      <c r="N122" t="s">
        <v>1388</v>
      </c>
      <c r="O122" t="s">
        <v>93</v>
      </c>
      <c r="P122" s="1" t="s">
        <v>24</v>
      </c>
      <c r="Q122" s="13" t="s">
        <v>1018</v>
      </c>
      <c r="R122">
        <v>4</v>
      </c>
      <c r="S122">
        <v>20000</v>
      </c>
      <c r="T122"/>
      <c r="U122" s="9" t="s">
        <v>487</v>
      </c>
      <c r="V122" s="9" t="s">
        <v>1211</v>
      </c>
      <c r="W122" s="9" t="s">
        <v>1395</v>
      </c>
      <c r="X122" s="9"/>
    </row>
    <row r="123" spans="1:24">
      <c r="A123" s="13" t="s">
        <v>19</v>
      </c>
      <c r="B123" s="1"/>
      <c r="C123" s="1" t="s">
        <v>20</v>
      </c>
      <c r="D123" s="3">
        <v>80000</v>
      </c>
      <c r="E123"/>
      <c r="F123"/>
      <c r="G123"/>
      <c r="H123"/>
      <c r="I123"/>
      <c r="J123"/>
      <c r="K123"/>
      <c r="L123"/>
      <c r="M123" s="18" t="s">
        <v>133</v>
      </c>
      <c r="N123" t="s">
        <v>1388</v>
      </c>
      <c r="O123" t="s">
        <v>93</v>
      </c>
      <c r="P123" s="1" t="s">
        <v>24</v>
      </c>
      <c r="Q123" s="13" t="s">
        <v>1018</v>
      </c>
      <c r="R123">
        <v>4</v>
      </c>
      <c r="S123">
        <v>20000</v>
      </c>
      <c r="T123"/>
      <c r="U123" s="9" t="s">
        <v>299</v>
      </c>
      <c r="V123" s="9" t="s">
        <v>1212</v>
      </c>
      <c r="W123" s="9" t="s">
        <v>94</v>
      </c>
      <c r="X123" s="9"/>
    </row>
    <row r="124" spans="1:24">
      <c r="A124" s="13" t="s">
        <v>19</v>
      </c>
      <c r="B124" s="1"/>
      <c r="C124" s="1" t="s">
        <v>20</v>
      </c>
      <c r="D124" s="3">
        <v>80000</v>
      </c>
      <c r="E124"/>
      <c r="F124"/>
      <c r="G124"/>
      <c r="H124"/>
      <c r="I124"/>
      <c r="J124"/>
      <c r="K124"/>
      <c r="L124"/>
      <c r="M124" s="18" t="s">
        <v>133</v>
      </c>
      <c r="N124" t="s">
        <v>1388</v>
      </c>
      <c r="O124" t="s">
        <v>93</v>
      </c>
      <c r="P124" s="1" t="s">
        <v>24</v>
      </c>
      <c r="Q124" s="13" t="s">
        <v>1018</v>
      </c>
      <c r="R124">
        <v>4</v>
      </c>
      <c r="S124">
        <v>20000</v>
      </c>
      <c r="T124"/>
      <c r="U124" s="9" t="s">
        <v>271</v>
      </c>
      <c r="V124" s="9" t="s">
        <v>1213</v>
      </c>
      <c r="W124" s="9" t="s">
        <v>96</v>
      </c>
      <c r="X124" s="9"/>
    </row>
    <row r="125" spans="1:24">
      <c r="A125" s="13" t="s">
        <v>19</v>
      </c>
      <c r="B125" s="1"/>
      <c r="C125" s="1" t="s">
        <v>20</v>
      </c>
      <c r="D125" s="3">
        <v>80000</v>
      </c>
      <c r="E125"/>
      <c r="F125"/>
      <c r="G125"/>
      <c r="H125"/>
      <c r="I125"/>
      <c r="J125"/>
      <c r="K125"/>
      <c r="L125"/>
      <c r="M125" s="18" t="s">
        <v>133</v>
      </c>
      <c r="N125" t="s">
        <v>1388</v>
      </c>
      <c r="O125" t="s">
        <v>93</v>
      </c>
      <c r="P125" s="1" t="s">
        <v>24</v>
      </c>
      <c r="Q125" s="13" t="s">
        <v>1018</v>
      </c>
      <c r="R125">
        <v>4</v>
      </c>
      <c r="S125">
        <v>20000</v>
      </c>
      <c r="T125"/>
      <c r="U125" s="9" t="s">
        <v>1076</v>
      </c>
      <c r="V125" s="9" t="s">
        <v>1214</v>
      </c>
      <c r="W125" s="9" t="s">
        <v>23</v>
      </c>
      <c r="X125" s="9"/>
    </row>
    <row r="126" spans="1:24">
      <c r="A126" s="13" t="s">
        <v>19</v>
      </c>
      <c r="B126" s="1"/>
      <c r="C126" s="1" t="s">
        <v>20</v>
      </c>
      <c r="D126" s="3">
        <v>80000</v>
      </c>
      <c r="E126"/>
      <c r="F126"/>
      <c r="G126"/>
      <c r="H126"/>
      <c r="I126"/>
      <c r="J126"/>
      <c r="K126"/>
      <c r="L126"/>
      <c r="M126" s="18" t="s">
        <v>133</v>
      </c>
      <c r="N126" t="s">
        <v>1388</v>
      </c>
      <c r="O126" t="s">
        <v>93</v>
      </c>
      <c r="P126" s="1" t="s">
        <v>24</v>
      </c>
      <c r="Q126" s="13" t="s">
        <v>1018</v>
      </c>
      <c r="R126">
        <v>4</v>
      </c>
      <c r="S126">
        <v>20000</v>
      </c>
      <c r="T126"/>
      <c r="U126" s="9" t="s">
        <v>1076</v>
      </c>
      <c r="V126" s="9" t="s">
        <v>1214</v>
      </c>
      <c r="W126" s="9"/>
      <c r="X126" s="9"/>
    </row>
    <row r="127" spans="1:24">
      <c r="A127" s="13" t="s">
        <v>19</v>
      </c>
      <c r="B127" s="1"/>
      <c r="C127" s="1" t="s">
        <v>26</v>
      </c>
      <c r="D127" s="3">
        <v>40000</v>
      </c>
      <c r="E127"/>
      <c r="F127"/>
      <c r="G127"/>
      <c r="H127"/>
      <c r="I127"/>
      <c r="J127"/>
      <c r="K127"/>
      <c r="L127"/>
      <c r="M127" s="18" t="s">
        <v>133</v>
      </c>
      <c r="N127" t="s">
        <v>1388</v>
      </c>
      <c r="O127" t="s">
        <v>93</v>
      </c>
      <c r="P127" s="1" t="s">
        <v>532</v>
      </c>
      <c r="Q127" s="13" t="s">
        <v>1018</v>
      </c>
      <c r="R127">
        <v>2</v>
      </c>
      <c r="S127">
        <v>20000</v>
      </c>
      <c r="T127"/>
      <c r="U127" s="9" t="s">
        <v>185</v>
      </c>
      <c r="V127" s="9" t="s">
        <v>1215</v>
      </c>
      <c r="W127" s="9" t="s">
        <v>96</v>
      </c>
      <c r="X127" s="9"/>
    </row>
    <row r="128" spans="1:24">
      <c r="A128" s="13" t="s">
        <v>19</v>
      </c>
      <c r="B128" s="1"/>
      <c r="C128" s="1" t="s">
        <v>26</v>
      </c>
      <c r="D128" s="3">
        <v>20000</v>
      </c>
      <c r="E128"/>
      <c r="F128"/>
      <c r="G128"/>
      <c r="H128"/>
      <c r="I128"/>
      <c r="J128"/>
      <c r="K128"/>
      <c r="L128"/>
      <c r="M128" s="18" t="s">
        <v>133</v>
      </c>
      <c r="N128" t="s">
        <v>1388</v>
      </c>
      <c r="O128" t="s">
        <v>93</v>
      </c>
      <c r="P128" s="1" t="s">
        <v>533</v>
      </c>
      <c r="Q128" s="13" t="s">
        <v>1018</v>
      </c>
      <c r="R128">
        <v>1</v>
      </c>
      <c r="S128">
        <v>20000</v>
      </c>
      <c r="T128"/>
      <c r="U128" s="9" t="s">
        <v>435</v>
      </c>
      <c r="V128" s="9" t="s">
        <v>1216</v>
      </c>
      <c r="W128" s="9" t="s">
        <v>1395</v>
      </c>
      <c r="X128" s="9"/>
    </row>
    <row r="129" spans="1:24">
      <c r="A129" s="13" t="s">
        <v>19</v>
      </c>
      <c r="B129" s="1"/>
      <c r="C129" s="1" t="s">
        <v>26</v>
      </c>
      <c r="D129" s="3">
        <v>20000</v>
      </c>
      <c r="E129"/>
      <c r="F129"/>
      <c r="G129"/>
      <c r="H129"/>
      <c r="I129"/>
      <c r="J129"/>
      <c r="K129"/>
      <c r="L129"/>
      <c r="M129" s="18" t="s">
        <v>133</v>
      </c>
      <c r="N129" t="s">
        <v>1388</v>
      </c>
      <c r="O129" t="s">
        <v>93</v>
      </c>
      <c r="P129" s="1" t="s">
        <v>534</v>
      </c>
      <c r="Q129" s="13" t="s">
        <v>1018</v>
      </c>
      <c r="R129">
        <v>1</v>
      </c>
      <c r="S129">
        <v>20000</v>
      </c>
      <c r="T129"/>
      <c r="U129" s="9" t="s">
        <v>1077</v>
      </c>
      <c r="V129" s="9" t="s">
        <v>1217</v>
      </c>
      <c r="W129" s="9" t="s">
        <v>1395</v>
      </c>
      <c r="X129" s="9"/>
    </row>
    <row r="130" spans="1:24">
      <c r="A130" s="13" t="s">
        <v>19</v>
      </c>
      <c r="B130" s="1"/>
      <c r="C130" s="1" t="s">
        <v>29</v>
      </c>
      <c r="D130" s="3">
        <v>20000</v>
      </c>
      <c r="E130"/>
      <c r="F130"/>
      <c r="G130"/>
      <c r="H130"/>
      <c r="I130"/>
      <c r="J130"/>
      <c r="K130"/>
      <c r="L130"/>
      <c r="M130" s="18" t="s">
        <v>133</v>
      </c>
      <c r="N130" t="s">
        <v>1388</v>
      </c>
      <c r="O130" t="s">
        <v>93</v>
      </c>
      <c r="P130" s="1" t="s">
        <v>30</v>
      </c>
      <c r="Q130" s="13" t="s">
        <v>1018</v>
      </c>
      <c r="R130">
        <v>4</v>
      </c>
      <c r="S130">
        <v>5000</v>
      </c>
      <c r="T130"/>
      <c r="U130" s="9" t="s">
        <v>1078</v>
      </c>
      <c r="V130" s="9" t="s">
        <v>1218</v>
      </c>
      <c r="W130" s="9"/>
      <c r="X130" s="9"/>
    </row>
    <row r="131" spans="1:24">
      <c r="A131" s="13" t="s">
        <v>19</v>
      </c>
      <c r="B131" s="1"/>
      <c r="C131" s="1" t="s">
        <v>29</v>
      </c>
      <c r="D131" s="3">
        <v>20000</v>
      </c>
      <c r="E131"/>
      <c r="F131"/>
      <c r="G131"/>
      <c r="H131"/>
      <c r="I131"/>
      <c r="J131"/>
      <c r="K131"/>
      <c r="L131"/>
      <c r="M131" s="18" t="s">
        <v>133</v>
      </c>
      <c r="N131" t="s">
        <v>1388</v>
      </c>
      <c r="O131" t="s">
        <v>93</v>
      </c>
      <c r="P131" s="1" t="s">
        <v>30</v>
      </c>
      <c r="Q131" s="13" t="s">
        <v>1018</v>
      </c>
      <c r="R131">
        <v>4</v>
      </c>
      <c r="S131">
        <v>5000</v>
      </c>
      <c r="T131"/>
      <c r="U131" s="9" t="s">
        <v>243</v>
      </c>
      <c r="V131" s="9" t="s">
        <v>1219</v>
      </c>
      <c r="W131" s="9" t="s">
        <v>1395</v>
      </c>
      <c r="X131" s="9"/>
    </row>
    <row r="132" spans="1:24">
      <c r="A132" s="13" t="s">
        <v>19</v>
      </c>
      <c r="B132" s="1"/>
      <c r="C132" s="1" t="s">
        <v>29</v>
      </c>
      <c r="D132" s="3">
        <v>20000</v>
      </c>
      <c r="E132"/>
      <c r="F132"/>
      <c r="G132"/>
      <c r="H132"/>
      <c r="I132"/>
      <c r="J132"/>
      <c r="K132"/>
      <c r="L132"/>
      <c r="M132" s="18" t="s">
        <v>133</v>
      </c>
      <c r="N132" t="s">
        <v>1388</v>
      </c>
      <c r="O132" t="s">
        <v>93</v>
      </c>
      <c r="P132" s="1" t="s">
        <v>30</v>
      </c>
      <c r="Q132" s="13" t="s">
        <v>1018</v>
      </c>
      <c r="R132">
        <v>4</v>
      </c>
      <c r="S132">
        <v>5000</v>
      </c>
      <c r="T132"/>
      <c r="U132" s="9" t="s">
        <v>459</v>
      </c>
      <c r="V132" s="9" t="s">
        <v>1220</v>
      </c>
      <c r="W132" s="9" t="s">
        <v>98</v>
      </c>
      <c r="X132" s="9"/>
    </row>
    <row r="133" spans="1:24">
      <c r="A133" s="13" t="s">
        <v>19</v>
      </c>
      <c r="B133" s="1"/>
      <c r="C133" s="1" t="s">
        <v>29</v>
      </c>
      <c r="D133" s="3">
        <v>20000</v>
      </c>
      <c r="E133"/>
      <c r="F133"/>
      <c r="G133"/>
      <c r="H133"/>
      <c r="I133"/>
      <c r="J133"/>
      <c r="K133"/>
      <c r="L133"/>
      <c r="M133" s="18" t="s">
        <v>133</v>
      </c>
      <c r="N133" t="s">
        <v>1388</v>
      </c>
      <c r="O133" t="s">
        <v>93</v>
      </c>
      <c r="P133" s="1" t="s">
        <v>30</v>
      </c>
      <c r="Q133" s="13" t="s">
        <v>1018</v>
      </c>
      <c r="R133">
        <v>4</v>
      </c>
      <c r="S133">
        <v>5000</v>
      </c>
      <c r="T133"/>
      <c r="U133" s="9" t="s">
        <v>1079</v>
      </c>
      <c r="V133" s="9" t="s">
        <v>1221</v>
      </c>
      <c r="W133" s="9" t="s">
        <v>98</v>
      </c>
      <c r="X133" s="9"/>
    </row>
    <row r="134" spans="1:24">
      <c r="A134" s="13" t="s">
        <v>19</v>
      </c>
      <c r="B134" s="1"/>
      <c r="C134" s="1" t="s">
        <v>29</v>
      </c>
      <c r="D134" s="3">
        <v>20000</v>
      </c>
      <c r="E134"/>
      <c r="F134"/>
      <c r="G134"/>
      <c r="H134"/>
      <c r="I134"/>
      <c r="J134"/>
      <c r="K134"/>
      <c r="L134"/>
      <c r="M134" s="18" t="s">
        <v>133</v>
      </c>
      <c r="N134" t="s">
        <v>1388</v>
      </c>
      <c r="O134" t="s">
        <v>93</v>
      </c>
      <c r="P134" s="1" t="s">
        <v>30</v>
      </c>
      <c r="Q134" s="13" t="s">
        <v>1018</v>
      </c>
      <c r="R134">
        <v>4</v>
      </c>
      <c r="S134">
        <v>5000</v>
      </c>
      <c r="T134"/>
      <c r="U134" s="9" t="s">
        <v>1079</v>
      </c>
      <c r="V134" s="9" t="s">
        <v>1221</v>
      </c>
      <c r="W134" s="9"/>
      <c r="X134" s="9"/>
    </row>
    <row r="135" spans="1:24">
      <c r="A135" s="13" t="s">
        <v>19</v>
      </c>
      <c r="B135" s="1"/>
      <c r="C135" s="1" t="s">
        <v>32</v>
      </c>
      <c r="D135" s="3">
        <v>10000</v>
      </c>
      <c r="E135"/>
      <c r="F135"/>
      <c r="G135"/>
      <c r="H135"/>
      <c r="I135"/>
      <c r="J135"/>
      <c r="K135"/>
      <c r="L135"/>
      <c r="M135" s="18" t="s">
        <v>133</v>
      </c>
      <c r="N135" t="s">
        <v>1388</v>
      </c>
      <c r="O135" t="s">
        <v>93</v>
      </c>
      <c r="P135" s="1" t="s">
        <v>535</v>
      </c>
      <c r="Q135" s="13" t="s">
        <v>1018</v>
      </c>
      <c r="R135">
        <v>2</v>
      </c>
      <c r="S135">
        <v>5000</v>
      </c>
      <c r="T135"/>
      <c r="U135" s="9" t="s">
        <v>419</v>
      </c>
      <c r="V135" s="9" t="s">
        <v>1222</v>
      </c>
      <c r="W135" s="9" t="s">
        <v>1395</v>
      </c>
      <c r="X135" s="9"/>
    </row>
    <row r="136" spans="1:24">
      <c r="A136" s="13" t="s">
        <v>19</v>
      </c>
      <c r="B136" s="1"/>
      <c r="C136" s="1" t="s">
        <v>32</v>
      </c>
      <c r="D136" s="3">
        <v>5000</v>
      </c>
      <c r="E136"/>
      <c r="F136"/>
      <c r="G136"/>
      <c r="H136"/>
      <c r="I136"/>
      <c r="J136"/>
      <c r="K136"/>
      <c r="L136"/>
      <c r="M136" s="18" t="s">
        <v>133</v>
      </c>
      <c r="N136" t="s">
        <v>1388</v>
      </c>
      <c r="O136" t="s">
        <v>93</v>
      </c>
      <c r="P136" s="1" t="s">
        <v>536</v>
      </c>
      <c r="Q136" s="13" t="s">
        <v>1018</v>
      </c>
      <c r="R136">
        <v>1</v>
      </c>
      <c r="S136">
        <v>5000</v>
      </c>
      <c r="T136"/>
      <c r="U136" s="9" t="s">
        <v>1080</v>
      </c>
      <c r="V136" s="9" t="s">
        <v>1223</v>
      </c>
      <c r="W136" s="9"/>
      <c r="X136" s="9"/>
    </row>
    <row r="137" spans="1:24">
      <c r="A137" s="13" t="s">
        <v>19</v>
      </c>
      <c r="B137" s="1"/>
      <c r="C137" s="1" t="s">
        <v>32</v>
      </c>
      <c r="D137" s="3">
        <v>5000</v>
      </c>
      <c r="E137"/>
      <c r="F137"/>
      <c r="G137"/>
      <c r="H137"/>
      <c r="I137"/>
      <c r="J137"/>
      <c r="K137"/>
      <c r="L137"/>
      <c r="M137" s="18" t="s">
        <v>133</v>
      </c>
      <c r="N137" t="s">
        <v>1388</v>
      </c>
      <c r="O137" t="s">
        <v>93</v>
      </c>
      <c r="P137" s="1" t="s">
        <v>537</v>
      </c>
      <c r="Q137" s="13" t="s">
        <v>1018</v>
      </c>
      <c r="R137">
        <v>1</v>
      </c>
      <c r="S137">
        <v>5000</v>
      </c>
      <c r="T137"/>
      <c r="U137" s="9" t="s">
        <v>121</v>
      </c>
      <c r="V137" s="9" t="s">
        <v>1224</v>
      </c>
      <c r="W137" s="9" t="s">
        <v>98</v>
      </c>
      <c r="X137" s="9"/>
    </row>
    <row r="138" spans="1:24">
      <c r="A138" s="13"/>
      <c r="B138" s="1"/>
      <c r="C138" s="1"/>
      <c r="D138" s="3" t="str">
        <f>SUBTOTAL(9,D122:D137)</f>
        <v>0</v>
      </c>
      <c r="E138"/>
      <c r="F138"/>
      <c r="G138"/>
      <c r="H138"/>
      <c r="I138"/>
      <c r="J138"/>
      <c r="K138"/>
      <c r="L138"/>
      <c r="M138" s="18" t="s">
        <v>134</v>
      </c>
      <c r="N138" t="s">
        <v>1413</v>
      </c>
      <c r="O138" t="s">
        <v>93</v>
      </c>
      <c r="P138" s="1"/>
      <c r="Q138" s="13"/>
      <c r="R138"/>
      <c r="S138"/>
      <c r="T138"/>
      <c r="U138" s="9" t="s">
        <v>375</v>
      </c>
      <c r="V138" s="9" t="s">
        <v>1225</v>
      </c>
      <c r="W138" s="9" t="s">
        <v>23</v>
      </c>
      <c r="X138" s="9"/>
    </row>
    <row r="139" spans="1:24">
      <c r="A139" s="13" t="s">
        <v>19</v>
      </c>
      <c r="B139" s="1"/>
      <c r="C139" s="1" t="s">
        <v>20</v>
      </c>
      <c r="D139" s="3">
        <v>96000</v>
      </c>
      <c r="E139"/>
      <c r="F139"/>
      <c r="G139"/>
      <c r="H139"/>
      <c r="I139"/>
      <c r="J139"/>
      <c r="K139"/>
      <c r="L139"/>
      <c r="M139" s="18" t="s">
        <v>135</v>
      </c>
      <c r="N139" t="s">
        <v>1291</v>
      </c>
      <c r="O139" t="s">
        <v>96</v>
      </c>
      <c r="P139" s="1" t="s">
        <v>538</v>
      </c>
      <c r="Q139" s="13" t="s">
        <v>25</v>
      </c>
      <c r="R139">
        <v>3</v>
      </c>
      <c r="S139">
        <v>32000</v>
      </c>
      <c r="T139"/>
      <c r="U139" s="9" t="s">
        <v>1081</v>
      </c>
      <c r="V139" s="9" t="s">
        <v>1226</v>
      </c>
      <c r="W139" s="9"/>
      <c r="X139" s="9"/>
    </row>
    <row r="140" spans="1:24">
      <c r="A140" s="13" t="s">
        <v>19</v>
      </c>
      <c r="B140" s="1"/>
      <c r="C140" s="1" t="s">
        <v>29</v>
      </c>
      <c r="D140" s="3">
        <v>15000</v>
      </c>
      <c r="E140"/>
      <c r="F140"/>
      <c r="G140"/>
      <c r="H140"/>
      <c r="I140"/>
      <c r="J140"/>
      <c r="K140"/>
      <c r="L140"/>
      <c r="M140" s="18" t="s">
        <v>135</v>
      </c>
      <c r="N140" t="s">
        <v>1291</v>
      </c>
      <c r="O140" t="s">
        <v>96</v>
      </c>
      <c r="P140" s="1" t="s">
        <v>539</v>
      </c>
      <c r="Q140" s="13" t="s">
        <v>25</v>
      </c>
      <c r="R140">
        <v>3</v>
      </c>
      <c r="S140">
        <v>5000</v>
      </c>
      <c r="T140"/>
      <c r="U140" s="9" t="s">
        <v>439</v>
      </c>
      <c r="V140" s="9" t="s">
        <v>1227</v>
      </c>
      <c r="W140" s="9" t="s">
        <v>96</v>
      </c>
      <c r="X140" s="9"/>
    </row>
    <row r="141" spans="1:24">
      <c r="A141" s="13"/>
      <c r="B141" s="1"/>
      <c r="C141" s="1"/>
      <c r="D141" s="3" t="str">
        <f>SUBTOTAL(9,D139:D140)</f>
        <v>0</v>
      </c>
      <c r="E141"/>
      <c r="F141"/>
      <c r="G141"/>
      <c r="H141"/>
      <c r="I141"/>
      <c r="J141"/>
      <c r="K141"/>
      <c r="L141"/>
      <c r="M141" s="18" t="s">
        <v>136</v>
      </c>
      <c r="N141" t="s">
        <v>1414</v>
      </c>
      <c r="O141" t="s">
        <v>96</v>
      </c>
      <c r="P141" s="1"/>
      <c r="Q141" s="13"/>
      <c r="R141"/>
      <c r="S141"/>
      <c r="T141"/>
      <c r="U141" s="9" t="s">
        <v>301</v>
      </c>
      <c r="V141" s="9" t="s">
        <v>1228</v>
      </c>
      <c r="W141" s="9" t="s">
        <v>96</v>
      </c>
      <c r="X141" s="9"/>
    </row>
    <row r="142" spans="1:24">
      <c r="A142" s="13" t="s">
        <v>19</v>
      </c>
      <c r="B142" s="1"/>
      <c r="C142" s="1" t="s">
        <v>20</v>
      </c>
      <c r="D142" s="3">
        <v>64000</v>
      </c>
      <c r="E142"/>
      <c r="F142"/>
      <c r="G142"/>
      <c r="H142"/>
      <c r="I142"/>
      <c r="J142"/>
      <c r="K142"/>
      <c r="L142"/>
      <c r="M142" s="18" t="s">
        <v>137</v>
      </c>
      <c r="N142" t="s">
        <v>1357</v>
      </c>
      <c r="O142" t="s">
        <v>1395</v>
      </c>
      <c r="P142" s="1" t="s">
        <v>540</v>
      </c>
      <c r="Q142" s="13" t="s">
        <v>25</v>
      </c>
      <c r="R142">
        <v>2</v>
      </c>
      <c r="S142">
        <v>32000</v>
      </c>
      <c r="T142"/>
      <c r="U142" s="9" t="s">
        <v>1082</v>
      </c>
      <c r="V142" s="9" t="s">
        <v>1229</v>
      </c>
      <c r="W142" s="9" t="s">
        <v>1395</v>
      </c>
      <c r="X142" s="9"/>
    </row>
    <row r="143" spans="1:24">
      <c r="A143" s="13" t="s">
        <v>19</v>
      </c>
      <c r="B143" s="1"/>
      <c r="C143" s="1" t="s">
        <v>29</v>
      </c>
      <c r="D143" s="3">
        <v>10000</v>
      </c>
      <c r="E143"/>
      <c r="F143"/>
      <c r="G143"/>
      <c r="H143"/>
      <c r="I143"/>
      <c r="J143"/>
      <c r="K143"/>
      <c r="L143"/>
      <c r="M143" s="18" t="s">
        <v>137</v>
      </c>
      <c r="N143" t="s">
        <v>1357</v>
      </c>
      <c r="O143" t="s">
        <v>1395</v>
      </c>
      <c r="P143" s="1" t="s">
        <v>541</v>
      </c>
      <c r="Q143" s="13" t="s">
        <v>25</v>
      </c>
      <c r="R143">
        <v>2</v>
      </c>
      <c r="S143">
        <v>5000</v>
      </c>
      <c r="T143"/>
      <c r="U143" s="9" t="s">
        <v>227</v>
      </c>
      <c r="V143" s="9" t="s">
        <v>1230</v>
      </c>
      <c r="W143" s="9" t="s">
        <v>1395</v>
      </c>
      <c r="X143" s="9"/>
    </row>
    <row r="144" spans="1:24">
      <c r="A144" s="13"/>
      <c r="B144" s="1"/>
      <c r="C144" s="1"/>
      <c r="D144" s="3" t="str">
        <f>SUBTOTAL(9,D142:D143)</f>
        <v>0</v>
      </c>
      <c r="E144"/>
      <c r="F144"/>
      <c r="G144"/>
      <c r="H144"/>
      <c r="I144"/>
      <c r="J144"/>
      <c r="K144"/>
      <c r="L144"/>
      <c r="M144" s="18" t="s">
        <v>138</v>
      </c>
      <c r="N144" t="s">
        <v>1415</v>
      </c>
      <c r="O144" t="s">
        <v>1395</v>
      </c>
      <c r="P144" s="1"/>
      <c r="Q144" s="13"/>
      <c r="R144"/>
      <c r="S144"/>
      <c r="T144"/>
      <c r="U144" s="9" t="s">
        <v>1083</v>
      </c>
      <c r="V144" s="9" t="s">
        <v>1231</v>
      </c>
      <c r="W144" s="9" t="s">
        <v>98</v>
      </c>
      <c r="X144" s="9"/>
    </row>
    <row r="145" spans="1:24">
      <c r="A145" s="13" t="s">
        <v>19</v>
      </c>
      <c r="B145" s="1"/>
      <c r="C145" s="1" t="s">
        <v>20</v>
      </c>
      <c r="D145" s="3">
        <v>128000</v>
      </c>
      <c r="E145"/>
      <c r="F145"/>
      <c r="G145"/>
      <c r="H145"/>
      <c r="I145"/>
      <c r="J145"/>
      <c r="K145"/>
      <c r="L145"/>
      <c r="M145" s="18" t="s">
        <v>139</v>
      </c>
      <c r="N145" t="s">
        <v>1173</v>
      </c>
      <c r="O145" t="s">
        <v>96</v>
      </c>
      <c r="P145" s="1" t="s">
        <v>542</v>
      </c>
      <c r="Q145" s="13" t="s">
        <v>25</v>
      </c>
      <c r="R145">
        <v>4</v>
      </c>
      <c r="S145">
        <v>32000</v>
      </c>
      <c r="T145"/>
      <c r="U145" s="9" t="s">
        <v>461</v>
      </c>
      <c r="V145" s="9" t="s">
        <v>1232</v>
      </c>
      <c r="W145" s="9" t="s">
        <v>98</v>
      </c>
      <c r="X145" s="9"/>
    </row>
    <row r="146" spans="1:24">
      <c r="A146" s="13" t="s">
        <v>19</v>
      </c>
      <c r="B146" s="1"/>
      <c r="C146" s="1" t="s">
        <v>29</v>
      </c>
      <c r="D146" s="3">
        <v>20000</v>
      </c>
      <c r="E146"/>
      <c r="F146"/>
      <c r="G146"/>
      <c r="H146"/>
      <c r="I146"/>
      <c r="J146"/>
      <c r="K146"/>
      <c r="L146"/>
      <c r="M146" s="18" t="s">
        <v>139</v>
      </c>
      <c r="N146" t="s">
        <v>1173</v>
      </c>
      <c r="O146" t="s">
        <v>96</v>
      </c>
      <c r="P146" s="1" t="s">
        <v>543</v>
      </c>
      <c r="Q146" s="13" t="s">
        <v>25</v>
      </c>
      <c r="R146">
        <v>4</v>
      </c>
      <c r="S146">
        <v>5000</v>
      </c>
      <c r="T146"/>
      <c r="U146" s="9" t="s">
        <v>385</v>
      </c>
      <c r="V146" s="9" t="s">
        <v>1233</v>
      </c>
      <c r="W146" s="9" t="s">
        <v>1395</v>
      </c>
      <c r="X146" s="9"/>
    </row>
    <row r="147" spans="1:24">
      <c r="A147" s="13"/>
      <c r="B147" s="1"/>
      <c r="C147" s="1"/>
      <c r="D147" s="3" t="str">
        <f>SUBTOTAL(9,D145:D146)</f>
        <v>0</v>
      </c>
      <c r="E147"/>
      <c r="F147"/>
      <c r="G147"/>
      <c r="H147"/>
      <c r="I147"/>
      <c r="J147"/>
      <c r="K147"/>
      <c r="L147"/>
      <c r="M147" s="18" t="s">
        <v>140</v>
      </c>
      <c r="N147" t="s">
        <v>1416</v>
      </c>
      <c r="O147" t="s">
        <v>96</v>
      </c>
      <c r="P147" s="1"/>
      <c r="Q147" s="13"/>
      <c r="R147"/>
      <c r="S147"/>
      <c r="T147"/>
      <c r="U147" s="9" t="s">
        <v>385</v>
      </c>
      <c r="V147" s="9" t="s">
        <v>1233</v>
      </c>
      <c r="W147" s="9"/>
      <c r="X147" s="9"/>
    </row>
    <row r="148" spans="1:24">
      <c r="A148" s="13" t="s">
        <v>19</v>
      </c>
      <c r="B148" s="1"/>
      <c r="C148" s="1" t="s">
        <v>20</v>
      </c>
      <c r="D148" s="3">
        <v>90000</v>
      </c>
      <c r="E148"/>
      <c r="F148"/>
      <c r="G148"/>
      <c r="H148"/>
      <c r="I148"/>
      <c r="J148"/>
      <c r="K148"/>
      <c r="L148"/>
      <c r="M148" s="18" t="s">
        <v>141</v>
      </c>
      <c r="N148" t="s">
        <v>1318</v>
      </c>
      <c r="O148" t="s">
        <v>1395</v>
      </c>
      <c r="P148" s="1" t="s">
        <v>542</v>
      </c>
      <c r="Q148" s="13" t="s">
        <v>1019</v>
      </c>
      <c r="R148">
        <v>3</v>
      </c>
      <c r="S148">
        <v>30000</v>
      </c>
      <c r="T148"/>
      <c r="U148" s="9" t="s">
        <v>269</v>
      </c>
      <c r="V148" s="9" t="s">
        <v>1234</v>
      </c>
      <c r="W148" s="9" t="s">
        <v>23</v>
      </c>
      <c r="X148" s="9"/>
    </row>
    <row r="149" spans="1:24">
      <c r="A149" s="13" t="s">
        <v>19</v>
      </c>
      <c r="B149" s="1"/>
      <c r="C149" s="1" t="s">
        <v>20</v>
      </c>
      <c r="D149" s="3">
        <v>60000</v>
      </c>
      <c r="E149"/>
      <c r="F149"/>
      <c r="G149"/>
      <c r="H149"/>
      <c r="I149"/>
      <c r="J149"/>
      <c r="K149"/>
      <c r="L149"/>
      <c r="M149" s="18" t="s">
        <v>141</v>
      </c>
      <c r="N149" t="s">
        <v>1318</v>
      </c>
      <c r="O149" t="s">
        <v>1395</v>
      </c>
      <c r="P149" s="1" t="s">
        <v>544</v>
      </c>
      <c r="Q149" s="13" t="s">
        <v>1019</v>
      </c>
      <c r="R149">
        <v>2</v>
      </c>
      <c r="S149">
        <v>30000</v>
      </c>
      <c r="T149"/>
      <c r="U149" s="9" t="s">
        <v>1084</v>
      </c>
      <c r="V149" s="9" t="s">
        <v>1235</v>
      </c>
      <c r="W149" s="9"/>
      <c r="X149" s="9"/>
    </row>
    <row r="150" spans="1:24">
      <c r="A150" s="13" t="s">
        <v>19</v>
      </c>
      <c r="B150" s="1"/>
      <c r="C150" s="1" t="s">
        <v>20</v>
      </c>
      <c r="D150" s="3">
        <v>90000</v>
      </c>
      <c r="E150"/>
      <c r="F150"/>
      <c r="G150"/>
      <c r="H150"/>
      <c r="I150"/>
      <c r="J150"/>
      <c r="K150"/>
      <c r="L150"/>
      <c r="M150" s="18" t="s">
        <v>141</v>
      </c>
      <c r="N150" t="s">
        <v>1318</v>
      </c>
      <c r="O150" t="s">
        <v>1395</v>
      </c>
      <c r="P150" s="1" t="s">
        <v>545</v>
      </c>
      <c r="Q150" s="13" t="s">
        <v>1019</v>
      </c>
      <c r="R150">
        <v>3</v>
      </c>
      <c r="S150">
        <v>30000</v>
      </c>
      <c r="T150"/>
      <c r="U150" s="9" t="s">
        <v>231</v>
      </c>
      <c r="V150" s="9" t="s">
        <v>1236</v>
      </c>
      <c r="W150" s="9" t="s">
        <v>98</v>
      </c>
      <c r="X150" s="9"/>
    </row>
    <row r="151" spans="1:24">
      <c r="A151" s="13" t="s">
        <v>19</v>
      </c>
      <c r="B151" s="1"/>
      <c r="C151" s="1" t="s">
        <v>20</v>
      </c>
      <c r="D151" s="3">
        <v>60000</v>
      </c>
      <c r="E151"/>
      <c r="F151"/>
      <c r="G151"/>
      <c r="H151"/>
      <c r="I151"/>
      <c r="J151"/>
      <c r="K151"/>
      <c r="L151"/>
      <c r="M151" s="18" t="s">
        <v>141</v>
      </c>
      <c r="N151" t="s">
        <v>1318</v>
      </c>
      <c r="O151" t="s">
        <v>1395</v>
      </c>
      <c r="P151" s="1" t="s">
        <v>546</v>
      </c>
      <c r="Q151" s="13" t="s">
        <v>1019</v>
      </c>
      <c r="R151">
        <v>2</v>
      </c>
      <c r="S151">
        <v>30000</v>
      </c>
      <c r="T151"/>
      <c r="U151" s="9" t="s">
        <v>425</v>
      </c>
      <c r="V151" s="9" t="s">
        <v>1237</v>
      </c>
      <c r="W151" s="9" t="s">
        <v>1395</v>
      </c>
      <c r="X151" s="9"/>
    </row>
    <row r="152" spans="1:24">
      <c r="A152" s="13" t="s">
        <v>19</v>
      </c>
      <c r="B152" s="1"/>
      <c r="C152" s="1" t="s">
        <v>20</v>
      </c>
      <c r="D152" s="3">
        <v>30000</v>
      </c>
      <c r="E152"/>
      <c r="F152"/>
      <c r="G152"/>
      <c r="H152"/>
      <c r="I152"/>
      <c r="J152"/>
      <c r="K152"/>
      <c r="L152"/>
      <c r="M152" s="18" t="s">
        <v>141</v>
      </c>
      <c r="N152" t="s">
        <v>1318</v>
      </c>
      <c r="O152" t="s">
        <v>1395</v>
      </c>
      <c r="P152" s="1" t="s">
        <v>547</v>
      </c>
      <c r="Q152" s="13" t="s">
        <v>1019</v>
      </c>
      <c r="R152">
        <v>1</v>
      </c>
      <c r="S152">
        <v>30000</v>
      </c>
      <c r="T152"/>
      <c r="U152" s="9" t="s">
        <v>193</v>
      </c>
      <c r="V152" s="9" t="s">
        <v>1238</v>
      </c>
      <c r="W152" s="9"/>
      <c r="X152" s="9"/>
    </row>
    <row r="153" spans="1:24">
      <c r="A153" s="13" t="s">
        <v>19</v>
      </c>
      <c r="B153" s="1"/>
      <c r="C153" s="1" t="s">
        <v>20</v>
      </c>
      <c r="D153" s="3">
        <v>30000</v>
      </c>
      <c r="E153"/>
      <c r="F153"/>
      <c r="G153"/>
      <c r="H153"/>
      <c r="I153"/>
      <c r="J153"/>
      <c r="K153"/>
      <c r="L153"/>
      <c r="M153" s="18" t="s">
        <v>141</v>
      </c>
      <c r="N153" t="s">
        <v>1318</v>
      </c>
      <c r="O153" t="s">
        <v>1395</v>
      </c>
      <c r="P153" s="1" t="s">
        <v>548</v>
      </c>
      <c r="Q153" s="13" t="s">
        <v>1019</v>
      </c>
      <c r="R153">
        <v>1</v>
      </c>
      <c r="S153">
        <v>30000</v>
      </c>
      <c r="T153"/>
      <c r="U153" s="9" t="s">
        <v>303</v>
      </c>
      <c r="V153" s="9" t="s">
        <v>1239</v>
      </c>
      <c r="W153" s="9" t="s">
        <v>1395</v>
      </c>
      <c r="X153" s="9"/>
    </row>
    <row r="154" spans="1:24">
      <c r="A154" s="13" t="s">
        <v>19</v>
      </c>
      <c r="B154" s="1"/>
      <c r="C154" s="1" t="s">
        <v>29</v>
      </c>
      <c r="D154" s="3">
        <v>15000</v>
      </c>
      <c r="E154"/>
      <c r="F154"/>
      <c r="G154"/>
      <c r="H154"/>
      <c r="I154"/>
      <c r="J154"/>
      <c r="K154"/>
      <c r="L154"/>
      <c r="M154" s="18" t="s">
        <v>141</v>
      </c>
      <c r="N154" t="s">
        <v>1318</v>
      </c>
      <c r="O154" t="s">
        <v>1395</v>
      </c>
      <c r="P154" s="1" t="s">
        <v>543</v>
      </c>
      <c r="Q154" s="13" t="s">
        <v>1019</v>
      </c>
      <c r="R154">
        <v>3</v>
      </c>
      <c r="S154">
        <v>5000</v>
      </c>
      <c r="T154"/>
      <c r="U154" s="9" t="s">
        <v>213</v>
      </c>
      <c r="V154" s="9" t="s">
        <v>1240</v>
      </c>
      <c r="W154" s="9" t="s">
        <v>94</v>
      </c>
      <c r="X154" s="9"/>
    </row>
    <row r="155" spans="1:24">
      <c r="A155" s="13" t="s">
        <v>19</v>
      </c>
      <c r="B155" s="1"/>
      <c r="C155" s="1" t="s">
        <v>29</v>
      </c>
      <c r="D155" s="3">
        <v>10000</v>
      </c>
      <c r="E155"/>
      <c r="F155"/>
      <c r="G155"/>
      <c r="H155"/>
      <c r="I155"/>
      <c r="J155"/>
      <c r="K155"/>
      <c r="L155"/>
      <c r="M155" s="18" t="s">
        <v>141</v>
      </c>
      <c r="N155" t="s">
        <v>1318</v>
      </c>
      <c r="O155" t="s">
        <v>1395</v>
      </c>
      <c r="P155" s="1" t="s">
        <v>549</v>
      </c>
      <c r="Q155" s="13" t="s">
        <v>1019</v>
      </c>
      <c r="R155">
        <v>2</v>
      </c>
      <c r="S155">
        <v>5000</v>
      </c>
      <c r="T155"/>
      <c r="U155" s="9" t="s">
        <v>255</v>
      </c>
      <c r="V155" s="9" t="s">
        <v>1241</v>
      </c>
      <c r="W155" s="9" t="s">
        <v>94</v>
      </c>
      <c r="X155" s="9"/>
    </row>
    <row r="156" spans="1:24">
      <c r="A156" s="13" t="s">
        <v>19</v>
      </c>
      <c r="B156" s="1"/>
      <c r="C156" s="1" t="s">
        <v>29</v>
      </c>
      <c r="D156" s="3">
        <v>15000</v>
      </c>
      <c r="E156"/>
      <c r="F156"/>
      <c r="G156"/>
      <c r="H156"/>
      <c r="I156"/>
      <c r="J156"/>
      <c r="K156"/>
      <c r="L156"/>
      <c r="M156" s="18" t="s">
        <v>141</v>
      </c>
      <c r="N156" t="s">
        <v>1318</v>
      </c>
      <c r="O156" t="s">
        <v>1395</v>
      </c>
      <c r="P156" s="1" t="s">
        <v>550</v>
      </c>
      <c r="Q156" s="13" t="s">
        <v>1019</v>
      </c>
      <c r="R156">
        <v>3</v>
      </c>
      <c r="S156">
        <v>5000</v>
      </c>
      <c r="T156"/>
      <c r="U156" s="9" t="s">
        <v>255</v>
      </c>
      <c r="V156" s="9" t="s">
        <v>1241</v>
      </c>
      <c r="W156" s="9"/>
      <c r="X156" s="9"/>
    </row>
    <row r="157" spans="1:24">
      <c r="A157" s="13" t="s">
        <v>19</v>
      </c>
      <c r="B157" s="1"/>
      <c r="C157" s="1" t="s">
        <v>29</v>
      </c>
      <c r="D157" s="3">
        <v>10000</v>
      </c>
      <c r="E157"/>
      <c r="F157"/>
      <c r="G157"/>
      <c r="H157"/>
      <c r="I157"/>
      <c r="J157"/>
      <c r="K157"/>
      <c r="L157"/>
      <c r="M157" s="18" t="s">
        <v>141</v>
      </c>
      <c r="N157" t="s">
        <v>1318</v>
      </c>
      <c r="O157" t="s">
        <v>1395</v>
      </c>
      <c r="P157" s="1" t="s">
        <v>551</v>
      </c>
      <c r="Q157" s="13" t="s">
        <v>1019</v>
      </c>
      <c r="R157">
        <v>2</v>
      </c>
      <c r="S157">
        <v>5000</v>
      </c>
      <c r="T157"/>
      <c r="U157" s="9" t="s">
        <v>393</v>
      </c>
      <c r="V157" s="9" t="s">
        <v>1242</v>
      </c>
      <c r="W157" s="9" t="s">
        <v>97</v>
      </c>
      <c r="X157" s="9"/>
    </row>
    <row r="158" spans="1:24">
      <c r="A158" s="13" t="s">
        <v>19</v>
      </c>
      <c r="B158" s="1"/>
      <c r="C158" s="1" t="s">
        <v>29</v>
      </c>
      <c r="D158" s="3">
        <v>5000</v>
      </c>
      <c r="E158"/>
      <c r="F158"/>
      <c r="G158"/>
      <c r="H158"/>
      <c r="I158"/>
      <c r="J158"/>
      <c r="K158"/>
      <c r="L158"/>
      <c r="M158" s="18" t="s">
        <v>141</v>
      </c>
      <c r="N158" t="s">
        <v>1318</v>
      </c>
      <c r="O158" t="s">
        <v>1395</v>
      </c>
      <c r="P158" s="1" t="s">
        <v>552</v>
      </c>
      <c r="Q158" s="13" t="s">
        <v>1019</v>
      </c>
      <c r="R158">
        <v>1</v>
      </c>
      <c r="S158">
        <v>5000</v>
      </c>
      <c r="T158"/>
      <c r="U158" s="9" t="s">
        <v>1085</v>
      </c>
      <c r="V158" s="9" t="s">
        <v>1243</v>
      </c>
      <c r="W158" s="9"/>
      <c r="X158" s="9"/>
    </row>
    <row r="159" spans="1:24">
      <c r="A159" s="13" t="s">
        <v>19</v>
      </c>
      <c r="B159" s="1"/>
      <c r="C159" s="1" t="s">
        <v>29</v>
      </c>
      <c r="D159" s="3">
        <v>5000</v>
      </c>
      <c r="E159"/>
      <c r="F159"/>
      <c r="G159"/>
      <c r="H159"/>
      <c r="I159"/>
      <c r="J159"/>
      <c r="K159"/>
      <c r="L159"/>
      <c r="M159" s="18" t="s">
        <v>141</v>
      </c>
      <c r="N159" t="s">
        <v>1318</v>
      </c>
      <c r="O159" t="s">
        <v>1395</v>
      </c>
      <c r="P159" s="1" t="s">
        <v>553</v>
      </c>
      <c r="Q159" s="13" t="s">
        <v>1019</v>
      </c>
      <c r="R159">
        <v>1</v>
      </c>
      <c r="S159">
        <v>5000</v>
      </c>
      <c r="T159"/>
      <c r="U159" s="9" t="s">
        <v>1086</v>
      </c>
      <c r="V159" s="9" t="s">
        <v>1244</v>
      </c>
      <c r="W159" s="9" t="s">
        <v>94</v>
      </c>
      <c r="X159" s="9"/>
    </row>
    <row r="160" spans="1:24">
      <c r="A160" s="13"/>
      <c r="B160" s="1"/>
      <c r="C160" s="1"/>
      <c r="D160" s="3" t="str">
        <f>SUBTOTAL(9,D148:D159)</f>
        <v>0</v>
      </c>
      <c r="E160"/>
      <c r="F160"/>
      <c r="G160"/>
      <c r="H160"/>
      <c r="I160"/>
      <c r="J160"/>
      <c r="K160"/>
      <c r="L160"/>
      <c r="M160" s="18" t="s">
        <v>142</v>
      </c>
      <c r="N160" t="s">
        <v>1417</v>
      </c>
      <c r="O160" t="s">
        <v>1395</v>
      </c>
      <c r="P160" s="1"/>
      <c r="Q160" s="13"/>
      <c r="R160"/>
      <c r="S160"/>
      <c r="T160"/>
      <c r="U160" s="9" t="s">
        <v>395</v>
      </c>
      <c r="V160" s="9" t="s">
        <v>1245</v>
      </c>
      <c r="W160" s="9" t="s">
        <v>97</v>
      </c>
      <c r="X160" s="9"/>
    </row>
    <row r="161" spans="1:24">
      <c r="A161" s="13" t="s">
        <v>19</v>
      </c>
      <c r="B161" s="1"/>
      <c r="C161" s="1" t="s">
        <v>20</v>
      </c>
      <c r="D161" s="3">
        <v>128000</v>
      </c>
      <c r="E161"/>
      <c r="F161"/>
      <c r="G161"/>
      <c r="H161"/>
      <c r="I161"/>
      <c r="J161"/>
      <c r="K161"/>
      <c r="L161"/>
      <c r="M161" s="18" t="s">
        <v>143</v>
      </c>
      <c r="N161" t="s">
        <v>1338</v>
      </c>
      <c r="O161" t="s">
        <v>98</v>
      </c>
      <c r="P161" s="1" t="s">
        <v>24</v>
      </c>
      <c r="Q161" s="13" t="s">
        <v>25</v>
      </c>
      <c r="R161">
        <v>4</v>
      </c>
      <c r="S161">
        <v>32000</v>
      </c>
      <c r="T161"/>
      <c r="U161" s="9" t="s">
        <v>123</v>
      </c>
      <c r="V161" s="9" t="s">
        <v>1246</v>
      </c>
      <c r="W161" s="9" t="s">
        <v>1395</v>
      </c>
      <c r="X161" s="9"/>
    </row>
    <row r="162" spans="1:24">
      <c r="A162" s="13" t="s">
        <v>19</v>
      </c>
      <c r="B162" s="1"/>
      <c r="C162" s="1" t="s">
        <v>20</v>
      </c>
      <c r="D162" s="3">
        <v>128000</v>
      </c>
      <c r="E162"/>
      <c r="F162"/>
      <c r="G162"/>
      <c r="H162"/>
      <c r="I162"/>
      <c r="J162"/>
      <c r="K162"/>
      <c r="L162"/>
      <c r="M162" s="18" t="s">
        <v>143</v>
      </c>
      <c r="N162" t="s">
        <v>1338</v>
      </c>
      <c r="O162" t="s">
        <v>98</v>
      </c>
      <c r="P162" s="1" t="s">
        <v>24</v>
      </c>
      <c r="Q162" s="13" t="s">
        <v>25</v>
      </c>
      <c r="R162">
        <v>4</v>
      </c>
      <c r="S162">
        <v>32000</v>
      </c>
      <c r="T162"/>
      <c r="U162" s="9" t="s">
        <v>147</v>
      </c>
      <c r="V162" s="9" t="s">
        <v>1247</v>
      </c>
      <c r="W162" s="9" t="s">
        <v>1395</v>
      </c>
      <c r="X162" s="9"/>
    </row>
    <row r="163" spans="1:24">
      <c r="A163" s="13" t="s">
        <v>19</v>
      </c>
      <c r="B163" s="1"/>
      <c r="C163" s="1" t="s">
        <v>29</v>
      </c>
      <c r="D163" s="3">
        <v>20000</v>
      </c>
      <c r="E163"/>
      <c r="F163"/>
      <c r="G163"/>
      <c r="H163"/>
      <c r="I163"/>
      <c r="J163"/>
      <c r="K163"/>
      <c r="L163"/>
      <c r="M163" s="18" t="s">
        <v>143</v>
      </c>
      <c r="N163" t="s">
        <v>1338</v>
      </c>
      <c r="O163" t="s">
        <v>98</v>
      </c>
      <c r="P163" s="1" t="s">
        <v>30</v>
      </c>
      <c r="Q163" s="13" t="s">
        <v>25</v>
      </c>
      <c r="R163">
        <v>4</v>
      </c>
      <c r="S163">
        <v>5000</v>
      </c>
      <c r="T163"/>
      <c r="U163" s="9" t="s">
        <v>447</v>
      </c>
      <c r="V163" s="9" t="s">
        <v>1248</v>
      </c>
      <c r="W163" s="9" t="s">
        <v>93</v>
      </c>
      <c r="X163" s="9"/>
    </row>
    <row r="164" spans="1:24">
      <c r="A164" s="13" t="s">
        <v>19</v>
      </c>
      <c r="B164" s="1"/>
      <c r="C164" s="1" t="s">
        <v>29</v>
      </c>
      <c r="D164" s="3">
        <v>20000</v>
      </c>
      <c r="E164"/>
      <c r="F164"/>
      <c r="G164"/>
      <c r="H164"/>
      <c r="I164"/>
      <c r="J164"/>
      <c r="K164"/>
      <c r="L164"/>
      <c r="M164" s="18" t="s">
        <v>143</v>
      </c>
      <c r="N164" t="s">
        <v>1338</v>
      </c>
      <c r="O164" t="s">
        <v>98</v>
      </c>
      <c r="P164" s="1" t="s">
        <v>30</v>
      </c>
      <c r="Q164" s="13" t="s">
        <v>25</v>
      </c>
      <c r="R164">
        <v>4</v>
      </c>
      <c r="S164">
        <v>5000</v>
      </c>
      <c r="T164"/>
      <c r="U164" s="9" t="s">
        <v>1087</v>
      </c>
      <c r="V164" s="9" t="s">
        <v>1249</v>
      </c>
      <c r="W164" s="9"/>
      <c r="X164" s="9"/>
    </row>
    <row r="165" spans="1:24">
      <c r="A165" s="13"/>
      <c r="B165" s="1"/>
      <c r="C165" s="1"/>
      <c r="D165" s="3" t="str">
        <f>SUBTOTAL(9,D161:D164)</f>
        <v>0</v>
      </c>
      <c r="E165"/>
      <c r="F165"/>
      <c r="G165"/>
      <c r="H165"/>
      <c r="I165"/>
      <c r="J165"/>
      <c r="K165"/>
      <c r="L165"/>
      <c r="M165" s="18" t="s">
        <v>144</v>
      </c>
      <c r="N165" t="s">
        <v>1418</v>
      </c>
      <c r="O165" t="s">
        <v>98</v>
      </c>
      <c r="P165" s="1"/>
      <c r="Q165" s="13"/>
      <c r="R165"/>
      <c r="S165"/>
      <c r="T165"/>
      <c r="U165" s="9" t="s">
        <v>483</v>
      </c>
      <c r="V165" s="9" t="s">
        <v>1250</v>
      </c>
      <c r="W165" s="9" t="s">
        <v>96</v>
      </c>
      <c r="X165" s="9"/>
    </row>
    <row r="166" spans="1:24">
      <c r="A166" s="13" t="s">
        <v>19</v>
      </c>
      <c r="B166" s="1"/>
      <c r="C166" s="1" t="s">
        <v>20</v>
      </c>
      <c r="D166" s="3">
        <v>30000</v>
      </c>
      <c r="E166"/>
      <c r="F166"/>
      <c r="G166"/>
      <c r="H166"/>
      <c r="I166"/>
      <c r="J166"/>
      <c r="K166"/>
      <c r="L166"/>
      <c r="M166" s="18" t="s">
        <v>145</v>
      </c>
      <c r="N166" t="s">
        <v>1386</v>
      </c>
      <c r="O166" t="s">
        <v>1395</v>
      </c>
      <c r="P166" s="1" t="s">
        <v>542</v>
      </c>
      <c r="Q166" s="13" t="s">
        <v>25</v>
      </c>
      <c r="R166">
        <v>1</v>
      </c>
      <c r="S166">
        <v>30000</v>
      </c>
      <c r="T166"/>
      <c r="U166" s="9" t="s">
        <v>289</v>
      </c>
      <c r="V166" s="9" t="s">
        <v>1251</v>
      </c>
      <c r="W166" s="9" t="s">
        <v>1395</v>
      </c>
      <c r="X166" s="9"/>
    </row>
    <row r="167" spans="1:24">
      <c r="A167" s="13" t="s">
        <v>19</v>
      </c>
      <c r="B167" s="1"/>
      <c r="C167" s="1" t="s">
        <v>20</v>
      </c>
      <c r="D167" s="3">
        <v>28000</v>
      </c>
      <c r="E167"/>
      <c r="F167"/>
      <c r="G167"/>
      <c r="H167"/>
      <c r="I167"/>
      <c r="J167"/>
      <c r="K167"/>
      <c r="L167"/>
      <c r="M167" s="18" t="s">
        <v>145</v>
      </c>
      <c r="N167" t="s">
        <v>1386</v>
      </c>
      <c r="O167" t="s">
        <v>1395</v>
      </c>
      <c r="P167" s="1" t="s">
        <v>554</v>
      </c>
      <c r="Q167" s="13" t="s">
        <v>25</v>
      </c>
      <c r="R167">
        <v>1</v>
      </c>
      <c r="S167">
        <v>28000</v>
      </c>
      <c r="T167"/>
      <c r="U167" s="9" t="s">
        <v>305</v>
      </c>
      <c r="V167" s="9" t="s">
        <v>1252</v>
      </c>
      <c r="W167" s="9" t="s">
        <v>98</v>
      </c>
      <c r="X167" s="9"/>
    </row>
    <row r="168" spans="1:24">
      <c r="A168" s="13" t="s">
        <v>19</v>
      </c>
      <c r="B168" s="1"/>
      <c r="C168" s="1" t="s">
        <v>29</v>
      </c>
      <c r="D168" s="3">
        <v>5000</v>
      </c>
      <c r="E168"/>
      <c r="F168"/>
      <c r="G168"/>
      <c r="H168"/>
      <c r="I168"/>
      <c r="J168"/>
      <c r="K168"/>
      <c r="L168"/>
      <c r="M168" s="18" t="s">
        <v>145</v>
      </c>
      <c r="N168" t="s">
        <v>1386</v>
      </c>
      <c r="O168" t="s">
        <v>1395</v>
      </c>
      <c r="P168" s="1" t="s">
        <v>543</v>
      </c>
      <c r="Q168" s="13" t="s">
        <v>25</v>
      </c>
      <c r="R168">
        <v>1</v>
      </c>
      <c r="S168">
        <v>5000</v>
      </c>
      <c r="T168"/>
      <c r="U168" s="9" t="s">
        <v>477</v>
      </c>
      <c r="V168" s="9" t="s">
        <v>1253</v>
      </c>
      <c r="W168" s="9" t="s">
        <v>98</v>
      </c>
      <c r="X168" s="9"/>
    </row>
    <row r="169" spans="1:24">
      <c r="A169" s="13" t="s">
        <v>19</v>
      </c>
      <c r="B169" s="1"/>
      <c r="C169" s="1" t="s">
        <v>29</v>
      </c>
      <c r="D169" s="3">
        <v>7000</v>
      </c>
      <c r="E169"/>
      <c r="F169"/>
      <c r="G169"/>
      <c r="H169"/>
      <c r="I169"/>
      <c r="J169"/>
      <c r="K169"/>
      <c r="L169"/>
      <c r="M169" s="18" t="s">
        <v>145</v>
      </c>
      <c r="N169" t="s">
        <v>1386</v>
      </c>
      <c r="O169" t="s">
        <v>1395</v>
      </c>
      <c r="P169" s="1" t="s">
        <v>555</v>
      </c>
      <c r="Q169" s="13" t="s">
        <v>25</v>
      </c>
      <c r="R169">
        <v>1</v>
      </c>
      <c r="S169">
        <v>7000</v>
      </c>
      <c r="T169"/>
      <c r="U169" s="9" t="s">
        <v>1088</v>
      </c>
      <c r="V169" s="9" t="s">
        <v>1088</v>
      </c>
      <c r="W169" s="9"/>
      <c r="X169" s="9"/>
    </row>
    <row r="170" spans="1:24">
      <c r="A170" s="13"/>
      <c r="B170" s="1"/>
      <c r="C170" s="1"/>
      <c r="D170" s="3" t="str">
        <f>SUBTOTAL(9,D166:D169)</f>
        <v>0</v>
      </c>
      <c r="E170"/>
      <c r="F170"/>
      <c r="G170"/>
      <c r="H170"/>
      <c r="I170"/>
      <c r="J170"/>
      <c r="K170"/>
      <c r="L170"/>
      <c r="M170" s="18" t="s">
        <v>146</v>
      </c>
      <c r="N170" t="s">
        <v>1419</v>
      </c>
      <c r="O170" t="s">
        <v>1395</v>
      </c>
      <c r="P170" s="1"/>
      <c r="Q170" s="13"/>
      <c r="R170"/>
      <c r="S170"/>
      <c r="T170"/>
      <c r="U170" s="9" t="s">
        <v>403</v>
      </c>
      <c r="V170" s="9" t="s">
        <v>1254</v>
      </c>
      <c r="W170" s="9" t="s">
        <v>1395</v>
      </c>
      <c r="X170" s="9"/>
    </row>
    <row r="171" spans="1:24">
      <c r="A171" s="13" t="s">
        <v>19</v>
      </c>
      <c r="B171" s="1"/>
      <c r="C171" s="1" t="s">
        <v>20</v>
      </c>
      <c r="D171" s="3">
        <v>64000</v>
      </c>
      <c r="E171"/>
      <c r="F171"/>
      <c r="G171"/>
      <c r="H171"/>
      <c r="I171"/>
      <c r="J171"/>
      <c r="K171"/>
      <c r="L171"/>
      <c r="M171" s="18" t="s">
        <v>147</v>
      </c>
      <c r="N171" t="s">
        <v>1247</v>
      </c>
      <c r="O171" t="s">
        <v>1395</v>
      </c>
      <c r="P171" s="1" t="s">
        <v>24</v>
      </c>
      <c r="Q171" s="13" t="s">
        <v>1018</v>
      </c>
      <c r="R171">
        <v>2</v>
      </c>
      <c r="S171">
        <v>32000</v>
      </c>
      <c r="T171"/>
      <c r="U171" s="9" t="s">
        <v>387</v>
      </c>
      <c r="V171" s="9" t="s">
        <v>1255</v>
      </c>
      <c r="W171" s="9" t="s">
        <v>1395</v>
      </c>
      <c r="X171" s="9"/>
    </row>
    <row r="172" spans="1:24">
      <c r="A172" s="13" t="s">
        <v>19</v>
      </c>
      <c r="B172" s="1"/>
      <c r="C172" s="1" t="s">
        <v>20</v>
      </c>
      <c r="D172" s="3">
        <v>64000</v>
      </c>
      <c r="E172"/>
      <c r="F172"/>
      <c r="G172"/>
      <c r="H172"/>
      <c r="I172"/>
      <c r="J172"/>
      <c r="K172"/>
      <c r="L172"/>
      <c r="M172" s="18" t="s">
        <v>147</v>
      </c>
      <c r="N172" t="s">
        <v>1247</v>
      </c>
      <c r="O172" t="s">
        <v>1395</v>
      </c>
      <c r="P172" s="1" t="s">
        <v>24</v>
      </c>
      <c r="Q172" s="13" t="s">
        <v>1018</v>
      </c>
      <c r="R172">
        <v>2</v>
      </c>
      <c r="S172">
        <v>32000</v>
      </c>
      <c r="T172"/>
      <c r="U172" s="9" t="s">
        <v>443</v>
      </c>
      <c r="V172" s="9" t="s">
        <v>1256</v>
      </c>
      <c r="W172" s="9" t="s">
        <v>23</v>
      </c>
      <c r="X172" s="9"/>
    </row>
    <row r="173" spans="1:24">
      <c r="A173" s="13" t="s">
        <v>19</v>
      </c>
      <c r="B173" s="1"/>
      <c r="C173" s="1" t="s">
        <v>20</v>
      </c>
      <c r="D173" s="3">
        <v>64000</v>
      </c>
      <c r="E173"/>
      <c r="F173"/>
      <c r="G173"/>
      <c r="H173"/>
      <c r="I173"/>
      <c r="J173"/>
      <c r="K173"/>
      <c r="L173"/>
      <c r="M173" s="18" t="s">
        <v>147</v>
      </c>
      <c r="N173" t="s">
        <v>1247</v>
      </c>
      <c r="O173" t="s">
        <v>1395</v>
      </c>
      <c r="P173" s="1" t="s">
        <v>24</v>
      </c>
      <c r="Q173" s="13" t="s">
        <v>1018</v>
      </c>
      <c r="R173">
        <v>2</v>
      </c>
      <c r="S173">
        <v>32000</v>
      </c>
      <c r="T173"/>
      <c r="U173" s="9" t="s">
        <v>215</v>
      </c>
      <c r="V173" s="9" t="s">
        <v>1257</v>
      </c>
      <c r="W173" s="9" t="s">
        <v>98</v>
      </c>
      <c r="X173" s="9"/>
    </row>
    <row r="174" spans="1:24">
      <c r="A174" s="13" t="s">
        <v>19</v>
      </c>
      <c r="B174" s="1"/>
      <c r="C174" s="1" t="s">
        <v>29</v>
      </c>
      <c r="D174" s="3">
        <v>10000</v>
      </c>
      <c r="E174"/>
      <c r="F174"/>
      <c r="G174"/>
      <c r="H174"/>
      <c r="I174"/>
      <c r="J174"/>
      <c r="K174"/>
      <c r="L174"/>
      <c r="M174" s="18" t="s">
        <v>147</v>
      </c>
      <c r="N174" t="s">
        <v>1247</v>
      </c>
      <c r="O174" t="s">
        <v>1395</v>
      </c>
      <c r="P174" s="1" t="s">
        <v>30</v>
      </c>
      <c r="Q174" s="13" t="s">
        <v>1018</v>
      </c>
      <c r="R174">
        <v>2</v>
      </c>
      <c r="S174">
        <v>5000</v>
      </c>
      <c r="T174"/>
      <c r="U174" s="9" t="s">
        <v>421</v>
      </c>
      <c r="V174" s="9" t="s">
        <v>1258</v>
      </c>
      <c r="W174" s="9" t="s">
        <v>1395</v>
      </c>
      <c r="X174" s="9"/>
    </row>
    <row r="175" spans="1:24">
      <c r="A175" s="13" t="s">
        <v>19</v>
      </c>
      <c r="B175" s="1"/>
      <c r="C175" s="1" t="s">
        <v>29</v>
      </c>
      <c r="D175" s="3">
        <v>10000</v>
      </c>
      <c r="E175"/>
      <c r="F175"/>
      <c r="G175"/>
      <c r="H175"/>
      <c r="I175"/>
      <c r="J175"/>
      <c r="K175"/>
      <c r="L175"/>
      <c r="M175" s="18" t="s">
        <v>147</v>
      </c>
      <c r="N175" t="s">
        <v>1247</v>
      </c>
      <c r="O175" t="s">
        <v>1395</v>
      </c>
      <c r="P175" s="1" t="s">
        <v>30</v>
      </c>
      <c r="Q175" s="13" t="s">
        <v>1018</v>
      </c>
      <c r="R175">
        <v>2</v>
      </c>
      <c r="S175">
        <v>5000</v>
      </c>
      <c r="T175"/>
      <c r="U175" s="9" t="s">
        <v>1089</v>
      </c>
      <c r="V175" s="9" t="s">
        <v>1259</v>
      </c>
      <c r="W175" s="9" t="s">
        <v>1395</v>
      </c>
      <c r="X175" s="9"/>
    </row>
    <row r="176" spans="1:24">
      <c r="A176" s="13" t="s">
        <v>19</v>
      </c>
      <c r="B176" s="1"/>
      <c r="C176" s="1" t="s">
        <v>29</v>
      </c>
      <c r="D176" s="3">
        <v>10000</v>
      </c>
      <c r="E176"/>
      <c r="F176"/>
      <c r="G176"/>
      <c r="H176"/>
      <c r="I176"/>
      <c r="J176"/>
      <c r="K176"/>
      <c r="L176"/>
      <c r="M176" s="18" t="s">
        <v>147</v>
      </c>
      <c r="N176" t="s">
        <v>1247</v>
      </c>
      <c r="O176" t="s">
        <v>1395</v>
      </c>
      <c r="P176" s="1" t="s">
        <v>30</v>
      </c>
      <c r="Q176" s="13" t="s">
        <v>1018</v>
      </c>
      <c r="R176">
        <v>2</v>
      </c>
      <c r="S176">
        <v>5000</v>
      </c>
      <c r="T176"/>
      <c r="U176" s="9" t="s">
        <v>149</v>
      </c>
      <c r="V176" s="9" t="s">
        <v>1260</v>
      </c>
      <c r="W176" s="9" t="s">
        <v>1395</v>
      </c>
      <c r="X176" s="9"/>
    </row>
    <row r="177" spans="1:24">
      <c r="A177" s="13"/>
      <c r="B177" s="1"/>
      <c r="C177" s="1"/>
      <c r="D177" s="3" t="str">
        <f>SUBTOTAL(9,D171:D176)</f>
        <v>0</v>
      </c>
      <c r="E177"/>
      <c r="F177"/>
      <c r="G177"/>
      <c r="H177"/>
      <c r="I177"/>
      <c r="J177"/>
      <c r="K177"/>
      <c r="L177"/>
      <c r="M177" s="18" t="s">
        <v>148</v>
      </c>
      <c r="N177" t="s">
        <v>1420</v>
      </c>
      <c r="O177" t="s">
        <v>1395</v>
      </c>
      <c r="P177" s="1"/>
      <c r="Q177" s="13"/>
      <c r="R177"/>
      <c r="S177"/>
      <c r="T177"/>
      <c r="U177" s="9" t="s">
        <v>351</v>
      </c>
      <c r="V177" s="9" t="s">
        <v>1261</v>
      </c>
      <c r="W177" s="9" t="s">
        <v>1395</v>
      </c>
      <c r="X177" s="9"/>
    </row>
    <row r="178" spans="1:24">
      <c r="A178" s="13" t="s">
        <v>19</v>
      </c>
      <c r="B178" s="1"/>
      <c r="C178" s="1" t="s">
        <v>20</v>
      </c>
      <c r="D178" s="3">
        <v>64000</v>
      </c>
      <c r="E178"/>
      <c r="F178"/>
      <c r="G178"/>
      <c r="H178"/>
      <c r="I178"/>
      <c r="J178"/>
      <c r="K178"/>
      <c r="L178"/>
      <c r="M178" s="18" t="s">
        <v>149</v>
      </c>
      <c r="N178" t="s">
        <v>1260</v>
      </c>
      <c r="O178" t="s">
        <v>1395</v>
      </c>
      <c r="P178" s="1" t="s">
        <v>540</v>
      </c>
      <c r="Q178" s="13" t="s">
        <v>25</v>
      </c>
      <c r="R178">
        <v>2</v>
      </c>
      <c r="S178">
        <v>32000</v>
      </c>
      <c r="T178"/>
      <c r="U178" s="9" t="s">
        <v>287</v>
      </c>
      <c r="V178" s="9" t="s">
        <v>1262</v>
      </c>
      <c r="W178" s="9" t="s">
        <v>1395</v>
      </c>
      <c r="X178" s="9"/>
    </row>
    <row r="179" spans="1:24">
      <c r="A179" s="13" t="s">
        <v>19</v>
      </c>
      <c r="B179" s="1"/>
      <c r="C179" s="1" t="s">
        <v>29</v>
      </c>
      <c r="D179" s="3">
        <v>10000</v>
      </c>
      <c r="E179"/>
      <c r="F179"/>
      <c r="G179"/>
      <c r="H179"/>
      <c r="I179"/>
      <c r="J179"/>
      <c r="K179"/>
      <c r="L179"/>
      <c r="M179" s="18" t="s">
        <v>149</v>
      </c>
      <c r="N179" t="s">
        <v>1260</v>
      </c>
      <c r="O179" t="s">
        <v>1395</v>
      </c>
      <c r="P179" s="1" t="s">
        <v>541</v>
      </c>
      <c r="Q179" s="13" t="s">
        <v>25</v>
      </c>
      <c r="R179">
        <v>2</v>
      </c>
      <c r="S179">
        <v>5000</v>
      </c>
      <c r="T179"/>
      <c r="U179" s="9" t="s">
        <v>1090</v>
      </c>
      <c r="V179" s="9" t="s">
        <v>1090</v>
      </c>
      <c r="W179" s="9"/>
      <c r="X179" s="9"/>
    </row>
    <row r="180" spans="1:24">
      <c r="A180" s="13"/>
      <c r="B180" s="1"/>
      <c r="C180" s="1"/>
      <c r="D180" s="3" t="str">
        <f>SUBTOTAL(9,D178:D179)</f>
        <v>0</v>
      </c>
      <c r="E180"/>
      <c r="F180"/>
      <c r="G180"/>
      <c r="H180"/>
      <c r="I180"/>
      <c r="J180"/>
      <c r="K180"/>
      <c r="L180"/>
      <c r="M180" s="18" t="s">
        <v>150</v>
      </c>
      <c r="N180" t="s">
        <v>1421</v>
      </c>
      <c r="O180" t="s">
        <v>1395</v>
      </c>
      <c r="P180" s="1"/>
      <c r="Q180" s="13"/>
      <c r="R180"/>
      <c r="S180"/>
      <c r="T180"/>
      <c r="U180" s="9" t="s">
        <v>249</v>
      </c>
      <c r="V180" s="9" t="s">
        <v>1263</v>
      </c>
      <c r="W180" s="9" t="s">
        <v>1395</v>
      </c>
      <c r="X180" s="9"/>
    </row>
    <row r="181" spans="1:24">
      <c r="A181" s="13" t="s">
        <v>19</v>
      </c>
      <c r="B181" s="1"/>
      <c r="C181" s="1" t="s">
        <v>20</v>
      </c>
      <c r="D181" s="3">
        <v>96000</v>
      </c>
      <c r="E181"/>
      <c r="F181"/>
      <c r="G181"/>
      <c r="H181"/>
      <c r="I181"/>
      <c r="J181"/>
      <c r="K181"/>
      <c r="L181"/>
      <c r="M181" s="18" t="s">
        <v>151</v>
      </c>
      <c r="N181" t="s">
        <v>1158</v>
      </c>
      <c r="O181" t="s">
        <v>96</v>
      </c>
      <c r="P181" s="1" t="s">
        <v>24</v>
      </c>
      <c r="Q181" s="13" t="s">
        <v>25</v>
      </c>
      <c r="R181">
        <v>3</v>
      </c>
      <c r="S181">
        <v>32000</v>
      </c>
      <c r="T181"/>
      <c r="U181" s="9" t="s">
        <v>307</v>
      </c>
      <c r="V181" s="9" t="s">
        <v>1264</v>
      </c>
      <c r="W181" s="9" t="s">
        <v>1395</v>
      </c>
      <c r="X181" s="9"/>
    </row>
    <row r="182" spans="1:24">
      <c r="A182" s="13" t="s">
        <v>19</v>
      </c>
      <c r="B182" s="1"/>
      <c r="C182" s="1" t="s">
        <v>29</v>
      </c>
      <c r="D182" s="3">
        <v>15000</v>
      </c>
      <c r="E182"/>
      <c r="F182"/>
      <c r="G182"/>
      <c r="H182"/>
      <c r="I182"/>
      <c r="J182"/>
      <c r="K182"/>
      <c r="L182"/>
      <c r="M182" s="18" t="s">
        <v>151</v>
      </c>
      <c r="N182" t="s">
        <v>1158</v>
      </c>
      <c r="O182" t="s">
        <v>96</v>
      </c>
      <c r="P182" s="1" t="s">
        <v>30</v>
      </c>
      <c r="Q182" s="13" t="s">
        <v>25</v>
      </c>
      <c r="R182">
        <v>3</v>
      </c>
      <c r="S182">
        <v>5000</v>
      </c>
      <c r="T182"/>
      <c r="U182" s="9" t="s">
        <v>309</v>
      </c>
      <c r="V182" s="9" t="s">
        <v>1265</v>
      </c>
      <c r="W182" s="9" t="s">
        <v>93</v>
      </c>
      <c r="X182" s="9"/>
    </row>
    <row r="183" spans="1:24">
      <c r="A183" s="13"/>
      <c r="B183" s="1"/>
      <c r="C183" s="1"/>
      <c r="D183" s="3" t="str">
        <f>SUBTOTAL(9,D181:D182)</f>
        <v>0</v>
      </c>
      <c r="E183"/>
      <c r="F183"/>
      <c r="G183"/>
      <c r="H183"/>
      <c r="I183"/>
      <c r="J183"/>
      <c r="K183"/>
      <c r="L183"/>
      <c r="M183" s="18" t="s">
        <v>152</v>
      </c>
      <c r="N183" t="s">
        <v>1422</v>
      </c>
      <c r="O183" t="s">
        <v>96</v>
      </c>
      <c r="P183" s="1"/>
      <c r="Q183" s="13"/>
      <c r="R183"/>
      <c r="S183"/>
      <c r="T183"/>
      <c r="U183" s="9" t="s">
        <v>1091</v>
      </c>
      <c r="V183" s="9" t="s">
        <v>1266</v>
      </c>
      <c r="W183" s="9"/>
      <c r="X183" s="9"/>
    </row>
    <row r="184" spans="1:24">
      <c r="A184" s="13" t="s">
        <v>19</v>
      </c>
      <c r="B184" s="1"/>
      <c r="C184" s="1" t="s">
        <v>20</v>
      </c>
      <c r="D184" s="3">
        <v>32000</v>
      </c>
      <c r="E184"/>
      <c r="F184"/>
      <c r="G184"/>
      <c r="H184"/>
      <c r="I184"/>
      <c r="J184"/>
      <c r="K184"/>
      <c r="L184"/>
      <c r="M184" s="18" t="s">
        <v>153</v>
      </c>
      <c r="N184" t="s">
        <v>1272</v>
      </c>
      <c r="O184" t="s">
        <v>1395</v>
      </c>
      <c r="P184" s="1" t="s">
        <v>24</v>
      </c>
      <c r="Q184" s="13" t="s">
        <v>25</v>
      </c>
      <c r="R184">
        <v>1</v>
      </c>
      <c r="S184">
        <v>32000</v>
      </c>
      <c r="T184"/>
      <c r="U184" s="9" t="s">
        <v>1092</v>
      </c>
      <c r="V184" s="9" t="s">
        <v>1267</v>
      </c>
      <c r="W184" s="9"/>
      <c r="X184" s="9"/>
    </row>
    <row r="185" spans="1:24">
      <c r="A185" s="13" t="s">
        <v>19</v>
      </c>
      <c r="B185" s="1"/>
      <c r="C185" s="1" t="s">
        <v>20</v>
      </c>
      <c r="D185" s="3">
        <v>32000</v>
      </c>
      <c r="E185"/>
      <c r="F185"/>
      <c r="G185"/>
      <c r="H185"/>
      <c r="I185"/>
      <c r="J185"/>
      <c r="K185"/>
      <c r="L185"/>
      <c r="M185" s="18" t="s">
        <v>153</v>
      </c>
      <c r="N185" t="s">
        <v>1272</v>
      </c>
      <c r="O185" t="s">
        <v>1395</v>
      </c>
      <c r="P185" s="1" t="s">
        <v>24</v>
      </c>
      <c r="Q185" s="13" t="s">
        <v>25</v>
      </c>
      <c r="R185">
        <v>1</v>
      </c>
      <c r="S185">
        <v>32000</v>
      </c>
      <c r="T185"/>
      <c r="U185" s="9" t="s">
        <v>125</v>
      </c>
      <c r="V185" s="9" t="s">
        <v>1268</v>
      </c>
      <c r="W185" s="9" t="s">
        <v>97</v>
      </c>
      <c r="X185" s="9"/>
    </row>
    <row r="186" spans="1:24">
      <c r="A186" s="13" t="s">
        <v>19</v>
      </c>
      <c r="B186" s="1"/>
      <c r="C186" s="1" t="s">
        <v>29</v>
      </c>
      <c r="D186" s="3">
        <v>5000</v>
      </c>
      <c r="E186"/>
      <c r="F186"/>
      <c r="G186"/>
      <c r="H186"/>
      <c r="I186"/>
      <c r="J186"/>
      <c r="K186"/>
      <c r="L186"/>
      <c r="M186" s="18" t="s">
        <v>153</v>
      </c>
      <c r="N186" t="s">
        <v>1272</v>
      </c>
      <c r="O186" t="s">
        <v>1395</v>
      </c>
      <c r="P186" s="1" t="s">
        <v>30</v>
      </c>
      <c r="Q186" s="13" t="s">
        <v>25</v>
      </c>
      <c r="R186">
        <v>1</v>
      </c>
      <c r="S186">
        <v>5000</v>
      </c>
      <c r="T186"/>
      <c r="U186" s="9" t="s">
        <v>167</v>
      </c>
      <c r="V186" s="9" t="s">
        <v>1269</v>
      </c>
      <c r="W186" s="9" t="s">
        <v>94</v>
      </c>
      <c r="X186" s="9"/>
    </row>
    <row r="187" spans="1:24">
      <c r="A187" s="13" t="s">
        <v>19</v>
      </c>
      <c r="B187" s="1"/>
      <c r="C187" s="1" t="s">
        <v>29</v>
      </c>
      <c r="D187" s="3">
        <v>5000</v>
      </c>
      <c r="E187"/>
      <c r="F187"/>
      <c r="G187"/>
      <c r="H187"/>
      <c r="I187"/>
      <c r="J187"/>
      <c r="K187"/>
      <c r="L187"/>
      <c r="M187" s="18" t="s">
        <v>153</v>
      </c>
      <c r="N187" t="s">
        <v>1272</v>
      </c>
      <c r="O187" t="s">
        <v>1395</v>
      </c>
      <c r="P187" s="1" t="s">
        <v>30</v>
      </c>
      <c r="Q187" s="13" t="s">
        <v>25</v>
      </c>
      <c r="R187">
        <v>1</v>
      </c>
      <c r="S187">
        <v>5000</v>
      </c>
      <c r="T187"/>
      <c r="U187" s="9" t="s">
        <v>175</v>
      </c>
      <c r="V187" s="9" t="s">
        <v>1270</v>
      </c>
      <c r="W187" s="9" t="s">
        <v>1395</v>
      </c>
      <c r="X187" s="9"/>
    </row>
    <row r="188" spans="1:24">
      <c r="A188" s="13"/>
      <c r="B188" s="1"/>
      <c r="C188" s="1"/>
      <c r="D188" s="3" t="str">
        <f>SUBTOTAL(9,D184:D187)</f>
        <v>0</v>
      </c>
      <c r="E188"/>
      <c r="F188"/>
      <c r="G188"/>
      <c r="H188"/>
      <c r="I188"/>
      <c r="J188"/>
      <c r="K188"/>
      <c r="L188"/>
      <c r="M188" s="18" t="s">
        <v>154</v>
      </c>
      <c r="N188" t="s">
        <v>1423</v>
      </c>
      <c r="O188" t="s">
        <v>1395</v>
      </c>
      <c r="P188" s="1"/>
      <c r="Q188" s="13"/>
      <c r="R188"/>
      <c r="S188"/>
      <c r="T188"/>
      <c r="U188" s="9" t="s">
        <v>157</v>
      </c>
      <c r="V188" s="9" t="s">
        <v>1271</v>
      </c>
      <c r="W188" s="9" t="s">
        <v>94</v>
      </c>
      <c r="X188" s="9"/>
    </row>
    <row r="189" spans="1:24">
      <c r="A189" s="13" t="s">
        <v>19</v>
      </c>
      <c r="B189" s="1"/>
      <c r="C189" s="1" t="s">
        <v>20</v>
      </c>
      <c r="D189" s="3">
        <v>64000</v>
      </c>
      <c r="E189"/>
      <c r="F189"/>
      <c r="G189"/>
      <c r="H189"/>
      <c r="I189"/>
      <c r="J189"/>
      <c r="K189"/>
      <c r="L189"/>
      <c r="M189" s="18" t="s">
        <v>155</v>
      </c>
      <c r="N189" t="s">
        <v>1274</v>
      </c>
      <c r="O189" t="s">
        <v>1395</v>
      </c>
      <c r="P189" s="1" t="s">
        <v>24</v>
      </c>
      <c r="Q189" s="13" t="s">
        <v>25</v>
      </c>
      <c r="R189">
        <v>2</v>
      </c>
      <c r="S189">
        <v>32000</v>
      </c>
      <c r="T189"/>
      <c r="U189" s="9" t="s">
        <v>153</v>
      </c>
      <c r="V189" s="9" t="s">
        <v>1272</v>
      </c>
      <c r="W189" s="9" t="s">
        <v>1395</v>
      </c>
      <c r="X189" s="9"/>
    </row>
    <row r="190" spans="1:24">
      <c r="A190" s="13" t="s">
        <v>19</v>
      </c>
      <c r="B190" s="1"/>
      <c r="C190" s="1" t="s">
        <v>20</v>
      </c>
      <c r="D190" s="3">
        <v>32000</v>
      </c>
      <c r="E190"/>
      <c r="F190"/>
      <c r="G190"/>
      <c r="H190"/>
      <c r="I190"/>
      <c r="J190"/>
      <c r="K190"/>
      <c r="L190"/>
      <c r="M190" s="18" t="s">
        <v>155</v>
      </c>
      <c r="N190" t="s">
        <v>1274</v>
      </c>
      <c r="O190" t="s">
        <v>1395</v>
      </c>
      <c r="P190" s="1" t="s">
        <v>24</v>
      </c>
      <c r="Q190" s="13" t="s">
        <v>25</v>
      </c>
      <c r="R190">
        <v>1</v>
      </c>
      <c r="S190">
        <v>32000</v>
      </c>
      <c r="T190"/>
      <c r="U190" s="9" t="s">
        <v>163</v>
      </c>
      <c r="V190" s="9" t="s">
        <v>1273</v>
      </c>
      <c r="W190" s="9" t="s">
        <v>1395</v>
      </c>
      <c r="X190" s="9"/>
    </row>
    <row r="191" spans="1:24">
      <c r="A191" s="13" t="s">
        <v>19</v>
      </c>
      <c r="B191" s="1"/>
      <c r="C191" s="1" t="s">
        <v>20</v>
      </c>
      <c r="D191" s="3">
        <v>32000</v>
      </c>
      <c r="E191"/>
      <c r="F191"/>
      <c r="G191"/>
      <c r="H191"/>
      <c r="I191"/>
      <c r="J191"/>
      <c r="K191"/>
      <c r="L191"/>
      <c r="M191" s="18" t="s">
        <v>155</v>
      </c>
      <c r="N191" t="s">
        <v>1274</v>
      </c>
      <c r="O191" t="s">
        <v>1395</v>
      </c>
      <c r="P191" s="1" t="s">
        <v>24</v>
      </c>
      <c r="Q191" s="13" t="s">
        <v>25</v>
      </c>
      <c r="R191">
        <v>1</v>
      </c>
      <c r="S191">
        <v>32000</v>
      </c>
      <c r="T191"/>
      <c r="U191" s="9" t="s">
        <v>155</v>
      </c>
      <c r="V191" s="9" t="s">
        <v>1274</v>
      </c>
      <c r="W191" s="9" t="s">
        <v>1395</v>
      </c>
      <c r="X191" s="9"/>
    </row>
    <row r="192" spans="1:24">
      <c r="A192" s="13" t="s">
        <v>19</v>
      </c>
      <c r="B192" s="1"/>
      <c r="C192" s="1" t="s">
        <v>29</v>
      </c>
      <c r="D192" s="3">
        <v>10000</v>
      </c>
      <c r="E192"/>
      <c r="F192"/>
      <c r="G192"/>
      <c r="H192"/>
      <c r="I192"/>
      <c r="J192"/>
      <c r="K192"/>
      <c r="L192"/>
      <c r="M192" s="18" t="s">
        <v>155</v>
      </c>
      <c r="N192" t="s">
        <v>1274</v>
      </c>
      <c r="O192" t="s">
        <v>1395</v>
      </c>
      <c r="P192" s="1" t="s">
        <v>30</v>
      </c>
      <c r="Q192" s="13" t="s">
        <v>25</v>
      </c>
      <c r="R192">
        <v>2</v>
      </c>
      <c r="S192">
        <v>5000</v>
      </c>
      <c r="T192"/>
      <c r="U192" s="9" t="s">
        <v>171</v>
      </c>
      <c r="V192" s="9" t="s">
        <v>1275</v>
      </c>
      <c r="W192" s="9" t="s">
        <v>94</v>
      </c>
      <c r="X192" s="9"/>
    </row>
    <row r="193" spans="1:24">
      <c r="A193" s="13" t="s">
        <v>19</v>
      </c>
      <c r="B193" s="1"/>
      <c r="C193" s="1" t="s">
        <v>29</v>
      </c>
      <c r="D193" s="3">
        <v>5000</v>
      </c>
      <c r="E193"/>
      <c r="F193"/>
      <c r="G193"/>
      <c r="H193"/>
      <c r="I193"/>
      <c r="J193"/>
      <c r="K193"/>
      <c r="L193"/>
      <c r="M193" s="18" t="s">
        <v>155</v>
      </c>
      <c r="N193" t="s">
        <v>1274</v>
      </c>
      <c r="O193" t="s">
        <v>1395</v>
      </c>
      <c r="P193" s="1" t="s">
        <v>30</v>
      </c>
      <c r="Q193" s="13" t="s">
        <v>25</v>
      </c>
      <c r="R193">
        <v>1</v>
      </c>
      <c r="S193">
        <v>5000</v>
      </c>
      <c r="T193"/>
      <c r="U193" s="9" t="s">
        <v>177</v>
      </c>
      <c r="V193" s="9" t="s">
        <v>1276</v>
      </c>
      <c r="W193" s="9" t="s">
        <v>94</v>
      </c>
      <c r="X193" s="9"/>
    </row>
    <row r="194" spans="1:24">
      <c r="A194" s="13" t="s">
        <v>19</v>
      </c>
      <c r="B194" s="1"/>
      <c r="C194" s="1" t="s">
        <v>29</v>
      </c>
      <c r="D194" s="3">
        <v>5000</v>
      </c>
      <c r="E194"/>
      <c r="F194"/>
      <c r="G194"/>
      <c r="H194"/>
      <c r="I194"/>
      <c r="J194"/>
      <c r="K194"/>
      <c r="L194"/>
      <c r="M194" s="18" t="s">
        <v>155</v>
      </c>
      <c r="N194" t="s">
        <v>1274</v>
      </c>
      <c r="O194" t="s">
        <v>1395</v>
      </c>
      <c r="P194" s="1" t="s">
        <v>30</v>
      </c>
      <c r="Q194" s="13" t="s">
        <v>25</v>
      </c>
      <c r="R194">
        <v>1</v>
      </c>
      <c r="S194">
        <v>5000</v>
      </c>
      <c r="T194"/>
      <c r="U194" s="9" t="s">
        <v>173</v>
      </c>
      <c r="V194" s="9" t="s">
        <v>1277</v>
      </c>
      <c r="W194" s="9" t="s">
        <v>1395</v>
      </c>
      <c r="X194" s="9"/>
    </row>
    <row r="195" spans="1:24">
      <c r="A195" s="13"/>
      <c r="B195" s="1"/>
      <c r="C195" s="1"/>
      <c r="D195" s="3" t="str">
        <f>SUBTOTAL(9,D189:D194)</f>
        <v>0</v>
      </c>
      <c r="E195"/>
      <c r="F195"/>
      <c r="G195"/>
      <c r="H195"/>
      <c r="I195"/>
      <c r="J195"/>
      <c r="K195"/>
      <c r="L195"/>
      <c r="M195" s="18" t="s">
        <v>156</v>
      </c>
      <c r="N195" t="s">
        <v>1424</v>
      </c>
      <c r="O195" t="s">
        <v>1395</v>
      </c>
      <c r="P195" s="1"/>
      <c r="Q195" s="13"/>
      <c r="R195"/>
      <c r="S195"/>
      <c r="T195"/>
      <c r="U195" s="9" t="s">
        <v>161</v>
      </c>
      <c r="V195" s="9" t="s">
        <v>1278</v>
      </c>
      <c r="W195" s="9" t="s">
        <v>1395</v>
      </c>
      <c r="X195" s="9"/>
    </row>
    <row r="196" spans="1:24">
      <c r="A196" s="13" t="s">
        <v>19</v>
      </c>
      <c r="B196" s="1"/>
      <c r="C196" s="1" t="s">
        <v>20</v>
      </c>
      <c r="D196" s="3">
        <v>64000</v>
      </c>
      <c r="E196"/>
      <c r="F196"/>
      <c r="G196"/>
      <c r="H196"/>
      <c r="I196"/>
      <c r="J196"/>
      <c r="K196"/>
      <c r="L196"/>
      <c r="M196" s="18" t="s">
        <v>157</v>
      </c>
      <c r="N196" t="s">
        <v>1271</v>
      </c>
      <c r="O196" t="s">
        <v>94</v>
      </c>
      <c r="P196" s="1" t="s">
        <v>24</v>
      </c>
      <c r="Q196" s="13" t="s">
        <v>25</v>
      </c>
      <c r="R196">
        <v>2</v>
      </c>
      <c r="S196">
        <v>32000</v>
      </c>
      <c r="T196"/>
      <c r="U196" s="9" t="s">
        <v>159</v>
      </c>
      <c r="V196" s="9" t="s">
        <v>1279</v>
      </c>
      <c r="W196" s="9" t="s">
        <v>94</v>
      </c>
      <c r="X196" s="9"/>
    </row>
    <row r="197" spans="1:24">
      <c r="A197" s="13" t="s">
        <v>19</v>
      </c>
      <c r="B197" s="1"/>
      <c r="C197" s="1" t="s">
        <v>29</v>
      </c>
      <c r="D197" s="3">
        <v>10000</v>
      </c>
      <c r="E197"/>
      <c r="F197"/>
      <c r="G197"/>
      <c r="H197"/>
      <c r="I197"/>
      <c r="J197"/>
      <c r="K197"/>
      <c r="L197"/>
      <c r="M197" s="18" t="s">
        <v>157</v>
      </c>
      <c r="N197" t="s">
        <v>1271</v>
      </c>
      <c r="O197" t="s">
        <v>94</v>
      </c>
      <c r="P197" s="1" t="s">
        <v>30</v>
      </c>
      <c r="Q197" s="13" t="s">
        <v>25</v>
      </c>
      <c r="R197">
        <v>2</v>
      </c>
      <c r="S197">
        <v>5000</v>
      </c>
      <c r="T197"/>
      <c r="U197" s="9" t="s">
        <v>165</v>
      </c>
      <c r="V197" s="9" t="s">
        <v>1280</v>
      </c>
      <c r="W197" s="9" t="s">
        <v>94</v>
      </c>
      <c r="X197" s="9"/>
    </row>
    <row r="198" spans="1:24">
      <c r="A198" s="13"/>
      <c r="B198" s="1"/>
      <c r="C198" s="1"/>
      <c r="D198" s="3" t="str">
        <f>SUBTOTAL(9,D196:D197)</f>
        <v>0</v>
      </c>
      <c r="E198"/>
      <c r="F198"/>
      <c r="G198"/>
      <c r="H198"/>
      <c r="I198"/>
      <c r="J198"/>
      <c r="K198"/>
      <c r="L198"/>
      <c r="M198" s="18" t="s">
        <v>158</v>
      </c>
      <c r="N198" t="s">
        <v>1425</v>
      </c>
      <c r="O198" t="s">
        <v>94</v>
      </c>
      <c r="P198" s="1"/>
      <c r="Q198" s="13"/>
      <c r="R198"/>
      <c r="S198"/>
      <c r="T198"/>
      <c r="U198" s="9" t="s">
        <v>169</v>
      </c>
      <c r="V198" s="9" t="s">
        <v>1281</v>
      </c>
      <c r="W198" s="9" t="s">
        <v>94</v>
      </c>
      <c r="X198" s="9"/>
    </row>
    <row r="199" spans="1:24">
      <c r="A199" s="13" t="s">
        <v>19</v>
      </c>
      <c r="B199" s="1"/>
      <c r="C199" s="1" t="s">
        <v>20</v>
      </c>
      <c r="D199" s="3">
        <v>64000</v>
      </c>
      <c r="E199"/>
      <c r="F199"/>
      <c r="G199"/>
      <c r="H199"/>
      <c r="I199"/>
      <c r="J199"/>
      <c r="K199"/>
      <c r="L199"/>
      <c r="M199" s="18" t="s">
        <v>159</v>
      </c>
      <c r="N199" t="s">
        <v>1279</v>
      </c>
      <c r="O199" t="s">
        <v>94</v>
      </c>
      <c r="P199" s="1" t="s">
        <v>24</v>
      </c>
      <c r="Q199" s="13" t="s">
        <v>25</v>
      </c>
      <c r="R199">
        <v>2</v>
      </c>
      <c r="S199">
        <v>32000</v>
      </c>
      <c r="T199"/>
      <c r="U199" s="9" t="s">
        <v>363</v>
      </c>
      <c r="V199" s="9" t="s">
        <v>1282</v>
      </c>
      <c r="W199" s="9" t="s">
        <v>94</v>
      </c>
      <c r="X199" s="9"/>
    </row>
    <row r="200" spans="1:24">
      <c r="A200" s="13" t="s">
        <v>19</v>
      </c>
      <c r="B200" s="1"/>
      <c r="C200" s="1" t="s">
        <v>26</v>
      </c>
      <c r="D200" s="3">
        <v>32000</v>
      </c>
      <c r="E200"/>
      <c r="F200"/>
      <c r="G200"/>
      <c r="H200"/>
      <c r="I200"/>
      <c r="J200"/>
      <c r="K200"/>
      <c r="L200"/>
      <c r="M200" s="18" t="s">
        <v>159</v>
      </c>
      <c r="N200" t="s">
        <v>1279</v>
      </c>
      <c r="O200" t="s">
        <v>94</v>
      </c>
      <c r="P200" s="1" t="s">
        <v>556</v>
      </c>
      <c r="Q200" s="13" t="s">
        <v>25</v>
      </c>
      <c r="R200">
        <v>1</v>
      </c>
      <c r="S200">
        <v>32000</v>
      </c>
      <c r="T200"/>
      <c r="U200" s="9" t="s">
        <v>1093</v>
      </c>
      <c r="V200" s="9" t="s">
        <v>1093</v>
      </c>
      <c r="W200" s="9"/>
      <c r="X200" s="9"/>
    </row>
    <row r="201" spans="1:24">
      <c r="A201" s="13" t="s">
        <v>19</v>
      </c>
      <c r="B201" s="1"/>
      <c r="C201" s="1" t="s">
        <v>29</v>
      </c>
      <c r="D201" s="3">
        <v>10000</v>
      </c>
      <c r="E201"/>
      <c r="F201"/>
      <c r="G201"/>
      <c r="H201"/>
      <c r="I201"/>
      <c r="J201"/>
      <c r="K201"/>
      <c r="L201"/>
      <c r="M201" s="18" t="s">
        <v>159</v>
      </c>
      <c r="N201" t="s">
        <v>1279</v>
      </c>
      <c r="O201" t="s">
        <v>94</v>
      </c>
      <c r="P201" s="1" t="s">
        <v>30</v>
      </c>
      <c r="Q201" s="13" t="s">
        <v>25</v>
      </c>
      <c r="R201">
        <v>2</v>
      </c>
      <c r="S201">
        <v>5000</v>
      </c>
      <c r="T201"/>
      <c r="U201" s="9" t="s">
        <v>471</v>
      </c>
      <c r="V201" s="9" t="s">
        <v>1283</v>
      </c>
      <c r="W201" s="9" t="s">
        <v>96</v>
      </c>
      <c r="X201" s="9"/>
    </row>
    <row r="202" spans="1:24">
      <c r="A202" s="13" t="s">
        <v>19</v>
      </c>
      <c r="B202" s="1"/>
      <c r="C202" s="1" t="s">
        <v>32</v>
      </c>
      <c r="D202" s="3">
        <v>5000</v>
      </c>
      <c r="E202"/>
      <c r="F202"/>
      <c r="G202"/>
      <c r="H202"/>
      <c r="I202"/>
      <c r="J202"/>
      <c r="K202"/>
      <c r="L202"/>
      <c r="M202" s="18" t="s">
        <v>159</v>
      </c>
      <c r="N202" t="s">
        <v>1279</v>
      </c>
      <c r="O202" t="s">
        <v>94</v>
      </c>
      <c r="P202" s="1" t="s">
        <v>557</v>
      </c>
      <c r="Q202" s="13" t="s">
        <v>25</v>
      </c>
      <c r="R202">
        <v>1</v>
      </c>
      <c r="S202">
        <v>5000</v>
      </c>
      <c r="T202"/>
      <c r="U202" s="9" t="s">
        <v>1094</v>
      </c>
      <c r="V202" s="9" t="s">
        <v>1284</v>
      </c>
      <c r="W202" s="9" t="s">
        <v>94</v>
      </c>
      <c r="X202" s="9"/>
    </row>
    <row r="203" spans="1:24">
      <c r="A203" s="13"/>
      <c r="B203" s="1"/>
      <c r="C203" s="1"/>
      <c r="D203" s="3" t="str">
        <f>SUBTOTAL(9,D199:D202)</f>
        <v>0</v>
      </c>
      <c r="E203"/>
      <c r="F203"/>
      <c r="G203"/>
      <c r="H203"/>
      <c r="I203"/>
      <c r="J203"/>
      <c r="K203"/>
      <c r="L203"/>
      <c r="M203" s="18" t="s">
        <v>160</v>
      </c>
      <c r="N203" t="s">
        <v>1426</v>
      </c>
      <c r="O203" t="s">
        <v>94</v>
      </c>
      <c r="P203" s="1"/>
      <c r="Q203" s="13"/>
      <c r="R203"/>
      <c r="S203"/>
      <c r="T203"/>
      <c r="U203" s="9" t="s">
        <v>1094</v>
      </c>
      <c r="V203" s="9" t="s">
        <v>1284</v>
      </c>
      <c r="W203" s="9"/>
      <c r="X203" s="9"/>
    </row>
    <row r="204" spans="1:24">
      <c r="A204" s="13" t="s">
        <v>19</v>
      </c>
      <c r="B204" s="1"/>
      <c r="C204" s="1" t="s">
        <v>20</v>
      </c>
      <c r="D204" s="3">
        <v>128000</v>
      </c>
      <c r="E204"/>
      <c r="F204"/>
      <c r="G204"/>
      <c r="H204"/>
      <c r="I204"/>
      <c r="J204"/>
      <c r="K204"/>
      <c r="L204"/>
      <c r="M204" s="18" t="s">
        <v>161</v>
      </c>
      <c r="N204" t="s">
        <v>1278</v>
      </c>
      <c r="O204" t="s">
        <v>1395</v>
      </c>
      <c r="P204" s="1" t="s">
        <v>24</v>
      </c>
      <c r="Q204" s="13" t="s">
        <v>25</v>
      </c>
      <c r="R204">
        <v>4</v>
      </c>
      <c r="S204">
        <v>32000</v>
      </c>
      <c r="T204"/>
      <c r="U204" s="9" t="s">
        <v>237</v>
      </c>
      <c r="V204" s="9" t="s">
        <v>1285</v>
      </c>
      <c r="W204" s="9" t="s">
        <v>1395</v>
      </c>
      <c r="X204" s="9"/>
    </row>
    <row r="205" spans="1:24">
      <c r="A205" s="13" t="s">
        <v>19</v>
      </c>
      <c r="B205" s="1"/>
      <c r="C205" s="1" t="s">
        <v>20</v>
      </c>
      <c r="D205" s="3">
        <v>64000</v>
      </c>
      <c r="E205"/>
      <c r="F205"/>
      <c r="G205"/>
      <c r="H205"/>
      <c r="I205"/>
      <c r="J205"/>
      <c r="K205"/>
      <c r="L205"/>
      <c r="M205" s="18" t="s">
        <v>161</v>
      </c>
      <c r="N205" t="s">
        <v>1278</v>
      </c>
      <c r="O205" t="s">
        <v>1395</v>
      </c>
      <c r="P205" s="1" t="s">
        <v>24</v>
      </c>
      <c r="Q205" s="13" t="s">
        <v>25</v>
      </c>
      <c r="R205">
        <v>2</v>
      </c>
      <c r="S205">
        <v>32000</v>
      </c>
      <c r="T205"/>
      <c r="U205" s="9" t="s">
        <v>267</v>
      </c>
      <c r="V205" s="9" t="s">
        <v>1286</v>
      </c>
      <c r="W205" s="9" t="s">
        <v>1395</v>
      </c>
      <c r="X205" s="9"/>
    </row>
    <row r="206" spans="1:24">
      <c r="A206" s="13" t="s">
        <v>19</v>
      </c>
      <c r="B206" s="1"/>
      <c r="C206" s="1" t="s">
        <v>26</v>
      </c>
      <c r="D206" s="3">
        <v>148000</v>
      </c>
      <c r="E206"/>
      <c r="F206"/>
      <c r="G206"/>
      <c r="H206"/>
      <c r="I206"/>
      <c r="J206"/>
      <c r="K206"/>
      <c r="L206"/>
      <c r="M206" s="18" t="s">
        <v>161</v>
      </c>
      <c r="N206" t="s">
        <v>1278</v>
      </c>
      <c r="O206" t="s">
        <v>1395</v>
      </c>
      <c r="P206" s="1" t="s">
        <v>558</v>
      </c>
      <c r="Q206" s="13" t="s">
        <v>25</v>
      </c>
      <c r="R206">
        <v>4</v>
      </c>
      <c r="S206">
        <v>37000</v>
      </c>
      <c r="T206"/>
      <c r="U206" s="9" t="s">
        <v>261</v>
      </c>
      <c r="V206" s="9" t="s">
        <v>1287</v>
      </c>
      <c r="W206" s="9" t="s">
        <v>1395</v>
      </c>
      <c r="X206" s="9"/>
    </row>
    <row r="207" spans="1:24">
      <c r="A207" s="13" t="s">
        <v>19</v>
      </c>
      <c r="B207" s="1"/>
      <c r="C207" s="1" t="s">
        <v>29</v>
      </c>
      <c r="D207" s="3">
        <v>20000</v>
      </c>
      <c r="E207"/>
      <c r="F207"/>
      <c r="G207"/>
      <c r="H207"/>
      <c r="I207"/>
      <c r="J207"/>
      <c r="K207"/>
      <c r="L207"/>
      <c r="M207" s="18" t="s">
        <v>161</v>
      </c>
      <c r="N207" t="s">
        <v>1278</v>
      </c>
      <c r="O207" t="s">
        <v>1395</v>
      </c>
      <c r="P207" s="1" t="s">
        <v>30</v>
      </c>
      <c r="Q207" s="13" t="s">
        <v>25</v>
      </c>
      <c r="R207">
        <v>4</v>
      </c>
      <c r="S207">
        <v>5000</v>
      </c>
      <c r="T207"/>
      <c r="U207" s="9" t="s">
        <v>1095</v>
      </c>
      <c r="V207" s="9" t="s">
        <v>1288</v>
      </c>
      <c r="W207" s="9" t="s">
        <v>98</v>
      </c>
      <c r="X207" s="9"/>
    </row>
    <row r="208" spans="1:24">
      <c r="A208" s="13" t="s">
        <v>19</v>
      </c>
      <c r="B208" s="1"/>
      <c r="C208" s="1" t="s">
        <v>29</v>
      </c>
      <c r="D208" s="3">
        <v>10000</v>
      </c>
      <c r="E208"/>
      <c r="F208"/>
      <c r="G208"/>
      <c r="H208"/>
      <c r="I208"/>
      <c r="J208"/>
      <c r="K208"/>
      <c r="L208"/>
      <c r="M208" s="18" t="s">
        <v>161</v>
      </c>
      <c r="N208" t="s">
        <v>1278</v>
      </c>
      <c r="O208" t="s">
        <v>1395</v>
      </c>
      <c r="P208" s="1" t="s">
        <v>30</v>
      </c>
      <c r="Q208" s="13" t="s">
        <v>25</v>
      </c>
      <c r="R208">
        <v>2</v>
      </c>
      <c r="S208">
        <v>5000</v>
      </c>
      <c r="T208"/>
      <c r="U208" s="9" t="s">
        <v>127</v>
      </c>
      <c r="V208" s="9" t="s">
        <v>1289</v>
      </c>
      <c r="W208" s="9" t="s">
        <v>96</v>
      </c>
      <c r="X208" s="9"/>
    </row>
    <row r="209" spans="1:24">
      <c r="A209" s="13" t="s">
        <v>19</v>
      </c>
      <c r="B209" s="1"/>
      <c r="C209" s="1" t="s">
        <v>32</v>
      </c>
      <c r="D209" s="3">
        <v>20000</v>
      </c>
      <c r="E209"/>
      <c r="F209"/>
      <c r="G209"/>
      <c r="H209"/>
      <c r="I209"/>
      <c r="J209"/>
      <c r="K209"/>
      <c r="L209"/>
      <c r="M209" s="18" t="s">
        <v>161</v>
      </c>
      <c r="N209" t="s">
        <v>1278</v>
      </c>
      <c r="O209" t="s">
        <v>1395</v>
      </c>
      <c r="P209" s="1" t="s">
        <v>559</v>
      </c>
      <c r="Q209" s="13" t="s">
        <v>25</v>
      </c>
      <c r="R209">
        <v>4</v>
      </c>
      <c r="S209">
        <v>5000</v>
      </c>
      <c r="T209"/>
      <c r="U209" s="9" t="s">
        <v>479</v>
      </c>
      <c r="V209" s="9" t="s">
        <v>1290</v>
      </c>
      <c r="W209" s="9" t="s">
        <v>94</v>
      </c>
      <c r="X209" s="9"/>
    </row>
    <row r="210" spans="1:24">
      <c r="A210" s="13"/>
      <c r="B210" s="1"/>
      <c r="C210" s="1"/>
      <c r="D210" s="3" t="str">
        <f>SUBTOTAL(9,D204:D209)</f>
        <v>0</v>
      </c>
      <c r="E210"/>
      <c r="F210"/>
      <c r="G210"/>
      <c r="H210"/>
      <c r="I210"/>
      <c r="J210"/>
      <c r="K210"/>
      <c r="L210"/>
      <c r="M210" s="18" t="s">
        <v>162</v>
      </c>
      <c r="N210" t="s">
        <v>1427</v>
      </c>
      <c r="O210" t="s">
        <v>1395</v>
      </c>
      <c r="P210" s="1"/>
      <c r="Q210" s="13"/>
      <c r="R210"/>
      <c r="S210"/>
      <c r="T210"/>
      <c r="U210" s="9" t="s">
        <v>135</v>
      </c>
      <c r="V210" s="9" t="s">
        <v>1291</v>
      </c>
      <c r="W210" s="9" t="s">
        <v>96</v>
      </c>
      <c r="X210" s="9"/>
    </row>
    <row r="211" spans="1:24">
      <c r="A211" s="13" t="s">
        <v>19</v>
      </c>
      <c r="B211" s="1"/>
      <c r="C211" s="1" t="s">
        <v>20</v>
      </c>
      <c r="D211" s="3">
        <v>32000</v>
      </c>
      <c r="E211"/>
      <c r="F211"/>
      <c r="G211"/>
      <c r="H211"/>
      <c r="I211"/>
      <c r="J211"/>
      <c r="K211"/>
      <c r="L211"/>
      <c r="M211" s="18" t="s">
        <v>163</v>
      </c>
      <c r="N211" t="s">
        <v>1273</v>
      </c>
      <c r="O211" t="s">
        <v>1395</v>
      </c>
      <c r="P211" s="1" t="s">
        <v>24</v>
      </c>
      <c r="Q211" s="13" t="s">
        <v>25</v>
      </c>
      <c r="R211">
        <v>1</v>
      </c>
      <c r="S211">
        <v>32000</v>
      </c>
      <c r="T211"/>
      <c r="U211" s="9" t="s">
        <v>311</v>
      </c>
      <c r="V211" s="9" t="s">
        <v>1292</v>
      </c>
      <c r="W211" s="9" t="s">
        <v>1395</v>
      </c>
      <c r="X211" s="9"/>
    </row>
    <row r="212" spans="1:24">
      <c r="A212" s="13" t="s">
        <v>19</v>
      </c>
      <c r="B212" s="1"/>
      <c r="C212" s="1" t="s">
        <v>20</v>
      </c>
      <c r="D212" s="3">
        <v>32000</v>
      </c>
      <c r="E212"/>
      <c r="F212"/>
      <c r="G212"/>
      <c r="H212"/>
      <c r="I212"/>
      <c r="J212"/>
      <c r="K212"/>
      <c r="L212"/>
      <c r="M212" s="18" t="s">
        <v>163</v>
      </c>
      <c r="N212" t="s">
        <v>1273</v>
      </c>
      <c r="O212" t="s">
        <v>1395</v>
      </c>
      <c r="P212" s="1" t="s">
        <v>24</v>
      </c>
      <c r="Q212" s="13" t="s">
        <v>25</v>
      </c>
      <c r="R212">
        <v>1</v>
      </c>
      <c r="S212">
        <v>32000</v>
      </c>
      <c r="T212"/>
      <c r="U212" s="9" t="s">
        <v>1096</v>
      </c>
      <c r="V212" s="9" t="s">
        <v>1293</v>
      </c>
      <c r="W212" s="9" t="s">
        <v>1395</v>
      </c>
      <c r="X212" s="9"/>
    </row>
    <row r="213" spans="1:24">
      <c r="A213" s="13" t="s">
        <v>19</v>
      </c>
      <c r="B213" s="1"/>
      <c r="C213" s="1" t="s">
        <v>29</v>
      </c>
      <c r="D213" s="3">
        <v>5000</v>
      </c>
      <c r="E213"/>
      <c r="F213"/>
      <c r="G213"/>
      <c r="H213"/>
      <c r="I213"/>
      <c r="J213"/>
      <c r="K213"/>
      <c r="L213"/>
      <c r="M213" s="18" t="s">
        <v>163</v>
      </c>
      <c r="N213" t="s">
        <v>1273</v>
      </c>
      <c r="O213" t="s">
        <v>1395</v>
      </c>
      <c r="P213" s="1" t="s">
        <v>30</v>
      </c>
      <c r="Q213" s="13" t="s">
        <v>25</v>
      </c>
      <c r="R213">
        <v>1</v>
      </c>
      <c r="S213">
        <v>5000</v>
      </c>
      <c r="T213"/>
      <c r="U213" s="9" t="s">
        <v>1096</v>
      </c>
      <c r="V213" s="9" t="s">
        <v>1293</v>
      </c>
      <c r="W213" s="9"/>
      <c r="X213" s="9"/>
    </row>
    <row r="214" spans="1:24">
      <c r="A214" s="13" t="s">
        <v>19</v>
      </c>
      <c r="B214" s="1"/>
      <c r="C214" s="1" t="s">
        <v>29</v>
      </c>
      <c r="D214" s="3">
        <v>5000</v>
      </c>
      <c r="E214"/>
      <c r="F214"/>
      <c r="G214"/>
      <c r="H214"/>
      <c r="I214"/>
      <c r="J214"/>
      <c r="K214"/>
      <c r="L214"/>
      <c r="M214" s="18" t="s">
        <v>163</v>
      </c>
      <c r="N214" t="s">
        <v>1273</v>
      </c>
      <c r="O214" t="s">
        <v>1395</v>
      </c>
      <c r="P214" s="1" t="s">
        <v>30</v>
      </c>
      <c r="Q214" s="13" t="s">
        <v>25</v>
      </c>
      <c r="R214">
        <v>1</v>
      </c>
      <c r="S214">
        <v>5000</v>
      </c>
      <c r="T214"/>
      <c r="U214" s="9" t="s">
        <v>129</v>
      </c>
      <c r="V214" s="9" t="s">
        <v>1294</v>
      </c>
      <c r="W214" s="9" t="s">
        <v>1395</v>
      </c>
      <c r="X214" s="9"/>
    </row>
    <row r="215" spans="1:24">
      <c r="A215" s="13"/>
      <c r="B215" s="1"/>
      <c r="C215" s="1"/>
      <c r="D215" s="3" t="str">
        <f>SUBTOTAL(9,D211:D214)</f>
        <v>0</v>
      </c>
      <c r="E215"/>
      <c r="F215"/>
      <c r="G215"/>
      <c r="H215"/>
      <c r="I215"/>
      <c r="J215"/>
      <c r="K215"/>
      <c r="L215"/>
      <c r="M215" s="18" t="s">
        <v>164</v>
      </c>
      <c r="N215" t="s">
        <v>1428</v>
      </c>
      <c r="O215" t="s">
        <v>1395</v>
      </c>
      <c r="P215" s="1"/>
      <c r="Q215" s="13"/>
      <c r="R215"/>
      <c r="S215"/>
      <c r="T215"/>
      <c r="U215" s="9" t="s">
        <v>313</v>
      </c>
      <c r="V215" s="9" t="s">
        <v>1295</v>
      </c>
      <c r="W215" s="9" t="s">
        <v>1395</v>
      </c>
      <c r="X215" s="9"/>
    </row>
    <row r="216" spans="1:24">
      <c r="A216" s="13" t="s">
        <v>19</v>
      </c>
      <c r="B216" s="1"/>
      <c r="C216" s="1" t="s">
        <v>20</v>
      </c>
      <c r="D216" s="3">
        <v>64000</v>
      </c>
      <c r="E216"/>
      <c r="F216"/>
      <c r="G216"/>
      <c r="H216"/>
      <c r="I216"/>
      <c r="J216"/>
      <c r="K216"/>
      <c r="L216"/>
      <c r="M216" s="18" t="s">
        <v>165</v>
      </c>
      <c r="N216" t="s">
        <v>1280</v>
      </c>
      <c r="O216" t="s">
        <v>94</v>
      </c>
      <c r="P216" s="1" t="s">
        <v>24</v>
      </c>
      <c r="Q216" s="13" t="s">
        <v>25</v>
      </c>
      <c r="R216">
        <v>2</v>
      </c>
      <c r="S216">
        <v>32000</v>
      </c>
      <c r="T216"/>
      <c r="U216" s="9" t="s">
        <v>407</v>
      </c>
      <c r="V216" s="9" t="s">
        <v>1296</v>
      </c>
      <c r="W216" s="9" t="s">
        <v>1395</v>
      </c>
      <c r="X216" s="9"/>
    </row>
    <row r="217" spans="1:24">
      <c r="A217" s="13" t="s">
        <v>19</v>
      </c>
      <c r="B217" s="1"/>
      <c r="C217" s="1" t="s">
        <v>20</v>
      </c>
      <c r="D217" s="3">
        <v>32000</v>
      </c>
      <c r="E217"/>
      <c r="F217"/>
      <c r="G217"/>
      <c r="H217"/>
      <c r="I217"/>
      <c r="J217"/>
      <c r="K217"/>
      <c r="L217"/>
      <c r="M217" s="18" t="s">
        <v>165</v>
      </c>
      <c r="N217" t="s">
        <v>1280</v>
      </c>
      <c r="O217" t="s">
        <v>94</v>
      </c>
      <c r="P217" s="1" t="s">
        <v>24</v>
      </c>
      <c r="Q217" s="13" t="s">
        <v>25</v>
      </c>
      <c r="R217">
        <v>1</v>
      </c>
      <c r="S217">
        <v>32000</v>
      </c>
      <c r="T217"/>
      <c r="U217" s="9" t="s">
        <v>253</v>
      </c>
      <c r="V217" s="9" t="s">
        <v>1297</v>
      </c>
      <c r="W217" s="9" t="s">
        <v>98</v>
      </c>
      <c r="X217" s="9"/>
    </row>
    <row r="218" spans="1:24">
      <c r="A218" s="13" t="s">
        <v>19</v>
      </c>
      <c r="B218" s="1"/>
      <c r="C218" s="1" t="s">
        <v>20</v>
      </c>
      <c r="D218" s="3">
        <v>32000</v>
      </c>
      <c r="E218"/>
      <c r="F218"/>
      <c r="G218"/>
      <c r="H218"/>
      <c r="I218"/>
      <c r="J218"/>
      <c r="K218"/>
      <c r="L218"/>
      <c r="M218" s="18" t="s">
        <v>165</v>
      </c>
      <c r="N218" t="s">
        <v>1280</v>
      </c>
      <c r="O218" t="s">
        <v>94</v>
      </c>
      <c r="P218" s="1" t="s">
        <v>24</v>
      </c>
      <c r="Q218" s="13" t="s">
        <v>25</v>
      </c>
      <c r="R218">
        <v>1</v>
      </c>
      <c r="S218">
        <v>32000</v>
      </c>
      <c r="T218"/>
      <c r="U218" s="9" t="s">
        <v>275</v>
      </c>
      <c r="V218" s="9" t="s">
        <v>1298</v>
      </c>
      <c r="W218" s="9" t="s">
        <v>96</v>
      </c>
      <c r="X218" s="9"/>
    </row>
    <row r="219" spans="1:24">
      <c r="A219" s="13" t="s">
        <v>19</v>
      </c>
      <c r="B219" s="1"/>
      <c r="C219" s="1" t="s">
        <v>29</v>
      </c>
      <c r="D219" s="3">
        <v>10000</v>
      </c>
      <c r="E219"/>
      <c r="F219"/>
      <c r="G219"/>
      <c r="H219"/>
      <c r="I219"/>
      <c r="J219"/>
      <c r="K219"/>
      <c r="L219"/>
      <c r="M219" s="18" t="s">
        <v>165</v>
      </c>
      <c r="N219" t="s">
        <v>1280</v>
      </c>
      <c r="O219" t="s">
        <v>94</v>
      </c>
      <c r="P219" s="1" t="s">
        <v>30</v>
      </c>
      <c r="Q219" s="13" t="s">
        <v>25</v>
      </c>
      <c r="R219">
        <v>2</v>
      </c>
      <c r="S219">
        <v>5000</v>
      </c>
      <c r="T219"/>
      <c r="U219" s="9" t="s">
        <v>409</v>
      </c>
      <c r="V219" s="9" t="s">
        <v>1299</v>
      </c>
      <c r="W219" s="9" t="s">
        <v>1395</v>
      </c>
      <c r="X219" s="9"/>
    </row>
    <row r="220" spans="1:24">
      <c r="A220" s="13" t="s">
        <v>19</v>
      </c>
      <c r="B220" s="1"/>
      <c r="C220" s="1" t="s">
        <v>29</v>
      </c>
      <c r="D220" s="3">
        <v>5000</v>
      </c>
      <c r="E220"/>
      <c r="F220"/>
      <c r="G220"/>
      <c r="H220"/>
      <c r="I220"/>
      <c r="J220"/>
      <c r="K220"/>
      <c r="L220"/>
      <c r="M220" s="18" t="s">
        <v>165</v>
      </c>
      <c r="N220" t="s">
        <v>1280</v>
      </c>
      <c r="O220" t="s">
        <v>94</v>
      </c>
      <c r="P220" s="1" t="s">
        <v>30</v>
      </c>
      <c r="Q220" s="13" t="s">
        <v>25</v>
      </c>
      <c r="R220">
        <v>1</v>
      </c>
      <c r="S220">
        <v>5000</v>
      </c>
      <c r="T220"/>
      <c r="U220" s="9" t="s">
        <v>195</v>
      </c>
      <c r="V220" s="9" t="s">
        <v>1300</v>
      </c>
      <c r="W220" s="9" t="s">
        <v>23</v>
      </c>
      <c r="X220" s="9"/>
    </row>
    <row r="221" spans="1:24">
      <c r="A221" s="13" t="s">
        <v>19</v>
      </c>
      <c r="B221" s="1"/>
      <c r="C221" s="1" t="s">
        <v>29</v>
      </c>
      <c r="D221" s="3">
        <v>5000</v>
      </c>
      <c r="E221"/>
      <c r="F221"/>
      <c r="G221"/>
      <c r="H221"/>
      <c r="I221"/>
      <c r="J221"/>
      <c r="K221"/>
      <c r="L221"/>
      <c r="M221" s="18" t="s">
        <v>165</v>
      </c>
      <c r="N221" t="s">
        <v>1280</v>
      </c>
      <c r="O221" t="s">
        <v>94</v>
      </c>
      <c r="P221" s="1" t="s">
        <v>30</v>
      </c>
      <c r="Q221" s="13" t="s">
        <v>25</v>
      </c>
      <c r="R221">
        <v>1</v>
      </c>
      <c r="S221">
        <v>5000</v>
      </c>
      <c r="T221"/>
      <c r="U221" s="9" t="s">
        <v>315</v>
      </c>
      <c r="V221" s="9" t="s">
        <v>1301</v>
      </c>
      <c r="W221" s="9" t="s">
        <v>1395</v>
      </c>
      <c r="X221" s="9"/>
    </row>
    <row r="222" spans="1:24">
      <c r="A222" s="13"/>
      <c r="B222" s="1"/>
      <c r="C222" s="1"/>
      <c r="D222" s="3" t="str">
        <f>SUBTOTAL(9,D216:D221)</f>
        <v>0</v>
      </c>
      <c r="E222"/>
      <c r="F222"/>
      <c r="G222"/>
      <c r="H222"/>
      <c r="I222"/>
      <c r="J222"/>
      <c r="K222"/>
      <c r="L222"/>
      <c r="M222" s="18" t="s">
        <v>166</v>
      </c>
      <c r="N222" t="s">
        <v>1429</v>
      </c>
      <c r="O222" t="s">
        <v>94</v>
      </c>
      <c r="P222" s="1"/>
      <c r="Q222" s="13"/>
      <c r="R222"/>
      <c r="S222"/>
      <c r="T222"/>
      <c r="U222" s="9" t="s">
        <v>317</v>
      </c>
      <c r="V222" s="9" t="s">
        <v>1302</v>
      </c>
      <c r="W222" s="9" t="s">
        <v>1395</v>
      </c>
      <c r="X222" s="9"/>
    </row>
    <row r="223" spans="1:24">
      <c r="A223" s="13" t="s">
        <v>19</v>
      </c>
      <c r="B223" s="1"/>
      <c r="C223" s="1" t="s">
        <v>20</v>
      </c>
      <c r="D223" s="3">
        <v>96000</v>
      </c>
      <c r="E223"/>
      <c r="F223"/>
      <c r="G223"/>
      <c r="H223"/>
      <c r="I223"/>
      <c r="J223"/>
      <c r="K223"/>
      <c r="L223"/>
      <c r="M223" s="18" t="s">
        <v>167</v>
      </c>
      <c r="N223" t="s">
        <v>1269</v>
      </c>
      <c r="O223" t="s">
        <v>94</v>
      </c>
      <c r="P223" s="1" t="s">
        <v>24</v>
      </c>
      <c r="Q223" s="13" t="s">
        <v>25</v>
      </c>
      <c r="R223">
        <v>3</v>
      </c>
      <c r="S223">
        <v>32000</v>
      </c>
      <c r="T223"/>
      <c r="U223" s="9" t="s">
        <v>389</v>
      </c>
      <c r="V223" s="9" t="s">
        <v>1303</v>
      </c>
      <c r="W223" s="9" t="s">
        <v>1395</v>
      </c>
      <c r="X223" s="9"/>
    </row>
    <row r="224" spans="1:24">
      <c r="A224" s="13" t="s">
        <v>19</v>
      </c>
      <c r="B224" s="1"/>
      <c r="C224" s="1" t="s">
        <v>20</v>
      </c>
      <c r="D224" s="3">
        <v>64000</v>
      </c>
      <c r="E224"/>
      <c r="F224"/>
      <c r="G224"/>
      <c r="H224"/>
      <c r="I224"/>
      <c r="J224"/>
      <c r="K224"/>
      <c r="L224"/>
      <c r="M224" s="18" t="s">
        <v>167</v>
      </c>
      <c r="N224" t="s">
        <v>1269</v>
      </c>
      <c r="O224" t="s">
        <v>94</v>
      </c>
      <c r="P224" s="1" t="s">
        <v>24</v>
      </c>
      <c r="Q224" s="13" t="s">
        <v>25</v>
      </c>
      <c r="R224">
        <v>2</v>
      </c>
      <c r="S224">
        <v>32000</v>
      </c>
      <c r="T224"/>
      <c r="U224" s="9" t="s">
        <v>131</v>
      </c>
      <c r="V224" s="9" t="s">
        <v>1304</v>
      </c>
      <c r="W224" s="9" t="s">
        <v>1395</v>
      </c>
      <c r="X224" s="9"/>
    </row>
    <row r="225" spans="1:24">
      <c r="A225" s="13" t="s">
        <v>19</v>
      </c>
      <c r="B225" s="1"/>
      <c r="C225" s="1" t="s">
        <v>29</v>
      </c>
      <c r="D225" s="3">
        <v>15000</v>
      </c>
      <c r="E225"/>
      <c r="F225"/>
      <c r="G225"/>
      <c r="H225"/>
      <c r="I225"/>
      <c r="J225"/>
      <c r="K225"/>
      <c r="L225"/>
      <c r="M225" s="18" t="s">
        <v>167</v>
      </c>
      <c r="N225" t="s">
        <v>1269</v>
      </c>
      <c r="O225" t="s">
        <v>94</v>
      </c>
      <c r="P225" s="1" t="s">
        <v>30</v>
      </c>
      <c r="Q225" s="13" t="s">
        <v>25</v>
      </c>
      <c r="R225">
        <v>3</v>
      </c>
      <c r="S225">
        <v>5000</v>
      </c>
      <c r="T225"/>
      <c r="U225" s="9" t="s">
        <v>391</v>
      </c>
      <c r="V225" s="9" t="s">
        <v>1305</v>
      </c>
      <c r="W225" s="9" t="s">
        <v>23</v>
      </c>
      <c r="X225" s="9"/>
    </row>
    <row r="226" spans="1:24">
      <c r="A226" s="13" t="s">
        <v>19</v>
      </c>
      <c r="B226" s="1"/>
      <c r="C226" s="1" t="s">
        <v>29</v>
      </c>
      <c r="D226" s="3">
        <v>10000</v>
      </c>
      <c r="E226"/>
      <c r="F226"/>
      <c r="G226"/>
      <c r="H226"/>
      <c r="I226"/>
      <c r="J226"/>
      <c r="K226"/>
      <c r="L226"/>
      <c r="M226" s="18" t="s">
        <v>167</v>
      </c>
      <c r="N226" t="s">
        <v>1269</v>
      </c>
      <c r="O226" t="s">
        <v>94</v>
      </c>
      <c r="P226" s="1" t="s">
        <v>30</v>
      </c>
      <c r="Q226" s="13" t="s">
        <v>25</v>
      </c>
      <c r="R226">
        <v>2</v>
      </c>
      <c r="S226">
        <v>5000</v>
      </c>
      <c r="T226"/>
      <c r="U226" s="9" t="s">
        <v>241</v>
      </c>
      <c r="V226" s="9" t="s">
        <v>1306</v>
      </c>
      <c r="W226" s="9" t="s">
        <v>23</v>
      </c>
      <c r="X226" s="9"/>
    </row>
    <row r="227" spans="1:24">
      <c r="A227" s="13"/>
      <c r="B227" s="1"/>
      <c r="C227" s="1"/>
      <c r="D227" s="3" t="str">
        <f>SUBTOTAL(9,D223:D226)</f>
        <v>0</v>
      </c>
      <c r="E227"/>
      <c r="F227"/>
      <c r="G227"/>
      <c r="H227"/>
      <c r="I227"/>
      <c r="J227"/>
      <c r="K227"/>
      <c r="L227"/>
      <c r="M227" s="18" t="s">
        <v>168</v>
      </c>
      <c r="N227" t="s">
        <v>1430</v>
      </c>
      <c r="O227" t="s">
        <v>94</v>
      </c>
      <c r="P227" s="1"/>
      <c r="Q227" s="13"/>
      <c r="R227"/>
      <c r="S227"/>
      <c r="T227"/>
      <c r="U227" s="9" t="s">
        <v>179</v>
      </c>
      <c r="V227" s="9" t="s">
        <v>1307</v>
      </c>
      <c r="W227" s="9" t="s">
        <v>1395</v>
      </c>
      <c r="X227" s="9"/>
    </row>
    <row r="228" spans="1:24">
      <c r="A228" s="13" t="s">
        <v>19</v>
      </c>
      <c r="B228" s="1"/>
      <c r="C228" s="1" t="s">
        <v>20</v>
      </c>
      <c r="D228" s="3">
        <v>64000</v>
      </c>
      <c r="E228"/>
      <c r="F228"/>
      <c r="G228"/>
      <c r="H228"/>
      <c r="I228"/>
      <c r="J228"/>
      <c r="K228"/>
      <c r="L228"/>
      <c r="M228" s="18" t="s">
        <v>169</v>
      </c>
      <c r="N228" t="s">
        <v>1281</v>
      </c>
      <c r="O228" t="s">
        <v>94</v>
      </c>
      <c r="P228" s="1" t="s">
        <v>24</v>
      </c>
      <c r="Q228" s="13" t="s">
        <v>25</v>
      </c>
      <c r="R228">
        <v>2</v>
      </c>
      <c r="S228">
        <v>32000</v>
      </c>
      <c r="T228"/>
      <c r="U228" s="9" t="s">
        <v>475</v>
      </c>
      <c r="V228" s="9" t="s">
        <v>1308</v>
      </c>
      <c r="W228" s="9"/>
      <c r="X228" s="9"/>
    </row>
    <row r="229" spans="1:24">
      <c r="A229" s="13" t="s">
        <v>19</v>
      </c>
      <c r="B229" s="1"/>
      <c r="C229" s="1" t="s">
        <v>29</v>
      </c>
      <c r="D229" s="3">
        <v>10000</v>
      </c>
      <c r="E229"/>
      <c r="F229"/>
      <c r="G229"/>
      <c r="H229"/>
      <c r="I229"/>
      <c r="J229"/>
      <c r="K229"/>
      <c r="L229"/>
      <c r="M229" s="18" t="s">
        <v>169</v>
      </c>
      <c r="N229" t="s">
        <v>1281</v>
      </c>
      <c r="O229" t="s">
        <v>94</v>
      </c>
      <c r="P229" s="1" t="s">
        <v>30</v>
      </c>
      <c r="Q229" s="13" t="s">
        <v>25</v>
      </c>
      <c r="R229">
        <v>2</v>
      </c>
      <c r="S229">
        <v>5000</v>
      </c>
      <c r="T229"/>
      <c r="U229" s="9" t="s">
        <v>449</v>
      </c>
      <c r="V229" s="9" t="s">
        <v>1309</v>
      </c>
      <c r="W229" s="9" t="s">
        <v>96</v>
      </c>
      <c r="X229" s="9"/>
    </row>
    <row r="230" spans="1:24">
      <c r="A230" s="13"/>
      <c r="B230" s="1"/>
      <c r="C230" s="1"/>
      <c r="D230" s="3" t="str">
        <f>SUBTOTAL(9,D228:D229)</f>
        <v>0</v>
      </c>
      <c r="E230"/>
      <c r="F230"/>
      <c r="G230"/>
      <c r="H230"/>
      <c r="I230"/>
      <c r="J230"/>
      <c r="K230"/>
      <c r="L230"/>
      <c r="M230" s="18" t="s">
        <v>170</v>
      </c>
      <c r="N230" t="s">
        <v>1431</v>
      </c>
      <c r="O230" t="s">
        <v>94</v>
      </c>
      <c r="P230" s="1"/>
      <c r="Q230" s="13"/>
      <c r="R230"/>
      <c r="S230"/>
      <c r="T230"/>
      <c r="U230" s="9" t="s">
        <v>217</v>
      </c>
      <c r="V230" s="9" t="s">
        <v>1310</v>
      </c>
      <c r="W230" s="9" t="s">
        <v>23</v>
      </c>
      <c r="X230" s="9"/>
    </row>
    <row r="231" spans="1:24">
      <c r="A231" s="13" t="s">
        <v>19</v>
      </c>
      <c r="B231" s="1"/>
      <c r="C231" s="1" t="s">
        <v>20</v>
      </c>
      <c r="D231" s="3">
        <v>64000</v>
      </c>
      <c r="E231"/>
      <c r="F231"/>
      <c r="G231"/>
      <c r="H231"/>
      <c r="I231"/>
      <c r="J231"/>
      <c r="K231"/>
      <c r="L231"/>
      <c r="M231" s="18" t="s">
        <v>171</v>
      </c>
      <c r="N231" t="s">
        <v>1275</v>
      </c>
      <c r="O231" t="s">
        <v>94</v>
      </c>
      <c r="P231" s="1" t="s">
        <v>24</v>
      </c>
      <c r="Q231" s="13" t="s">
        <v>25</v>
      </c>
      <c r="R231">
        <v>2</v>
      </c>
      <c r="S231">
        <v>32000</v>
      </c>
      <c r="T231"/>
      <c r="U231" s="9" t="s">
        <v>203</v>
      </c>
      <c r="V231" s="9" t="s">
        <v>1311</v>
      </c>
      <c r="W231" s="9" t="s">
        <v>1395</v>
      </c>
      <c r="X231" s="9"/>
    </row>
    <row r="232" spans="1:24">
      <c r="A232" s="13" t="s">
        <v>19</v>
      </c>
      <c r="B232" s="1"/>
      <c r="C232" s="1" t="s">
        <v>20</v>
      </c>
      <c r="D232" s="3">
        <v>32000</v>
      </c>
      <c r="E232"/>
      <c r="F232"/>
      <c r="G232"/>
      <c r="H232"/>
      <c r="I232"/>
      <c r="J232"/>
      <c r="K232"/>
      <c r="L232"/>
      <c r="M232" s="18" t="s">
        <v>171</v>
      </c>
      <c r="N232" t="s">
        <v>1275</v>
      </c>
      <c r="O232" t="s">
        <v>94</v>
      </c>
      <c r="P232" s="1" t="s">
        <v>24</v>
      </c>
      <c r="Q232" s="13" t="s">
        <v>25</v>
      </c>
      <c r="R232">
        <v>1</v>
      </c>
      <c r="S232">
        <v>32000</v>
      </c>
      <c r="T232"/>
      <c r="U232" s="9" t="s">
        <v>399</v>
      </c>
      <c r="V232" s="9" t="s">
        <v>1312</v>
      </c>
      <c r="W232" s="9" t="s">
        <v>1395</v>
      </c>
      <c r="X232" s="9"/>
    </row>
    <row r="233" spans="1:24">
      <c r="A233" s="13" t="s">
        <v>19</v>
      </c>
      <c r="B233" s="1"/>
      <c r="C233" s="1" t="s">
        <v>29</v>
      </c>
      <c r="D233" s="3">
        <v>10000</v>
      </c>
      <c r="E233"/>
      <c r="F233"/>
      <c r="G233"/>
      <c r="H233"/>
      <c r="I233"/>
      <c r="J233"/>
      <c r="K233"/>
      <c r="L233"/>
      <c r="M233" s="18" t="s">
        <v>171</v>
      </c>
      <c r="N233" t="s">
        <v>1275</v>
      </c>
      <c r="O233" t="s">
        <v>94</v>
      </c>
      <c r="P233" s="1" t="s">
        <v>30</v>
      </c>
      <c r="Q233" s="13" t="s">
        <v>25</v>
      </c>
      <c r="R233">
        <v>2</v>
      </c>
      <c r="S233">
        <v>5000</v>
      </c>
      <c r="T233"/>
      <c r="U233" s="9" t="s">
        <v>397</v>
      </c>
      <c r="V233" s="9" t="s">
        <v>1313</v>
      </c>
      <c r="W233" s="9" t="s">
        <v>1395</v>
      </c>
      <c r="X233" s="9"/>
    </row>
    <row r="234" spans="1:24">
      <c r="A234" s="13" t="s">
        <v>19</v>
      </c>
      <c r="B234" s="1"/>
      <c r="C234" s="1" t="s">
        <v>29</v>
      </c>
      <c r="D234" s="3">
        <v>5000</v>
      </c>
      <c r="E234"/>
      <c r="F234"/>
      <c r="G234"/>
      <c r="H234"/>
      <c r="I234"/>
      <c r="J234"/>
      <c r="K234"/>
      <c r="L234"/>
      <c r="M234" s="18" t="s">
        <v>171</v>
      </c>
      <c r="N234" t="s">
        <v>1275</v>
      </c>
      <c r="O234" t="s">
        <v>94</v>
      </c>
      <c r="P234" s="1" t="s">
        <v>30</v>
      </c>
      <c r="Q234" s="13" t="s">
        <v>25</v>
      </c>
      <c r="R234">
        <v>1</v>
      </c>
      <c r="S234">
        <v>5000</v>
      </c>
      <c r="T234"/>
      <c r="U234" s="9" t="s">
        <v>401</v>
      </c>
      <c r="V234" s="9" t="s">
        <v>1314</v>
      </c>
      <c r="W234" s="9" t="s">
        <v>98</v>
      </c>
      <c r="X234" s="9"/>
    </row>
    <row r="235" spans="1:24">
      <c r="A235" s="13"/>
      <c r="B235" s="1"/>
      <c r="C235" s="1"/>
      <c r="D235" s="3" t="str">
        <f>SUBTOTAL(9,D231:D234)</f>
        <v>0</v>
      </c>
      <c r="E235"/>
      <c r="F235"/>
      <c r="G235"/>
      <c r="H235"/>
      <c r="I235"/>
      <c r="J235"/>
      <c r="K235"/>
      <c r="L235"/>
      <c r="M235" s="18" t="s">
        <v>172</v>
      </c>
      <c r="N235" t="s">
        <v>1432</v>
      </c>
      <c r="O235" t="s">
        <v>94</v>
      </c>
      <c r="P235" s="1"/>
      <c r="Q235" s="13"/>
      <c r="R235"/>
      <c r="S235"/>
      <c r="T235"/>
      <c r="U235" s="9" t="s">
        <v>1097</v>
      </c>
      <c r="V235" s="9" t="s">
        <v>1097</v>
      </c>
      <c r="W235" s="9"/>
      <c r="X235" s="9"/>
    </row>
    <row r="236" spans="1:24">
      <c r="A236" s="13" t="s">
        <v>19</v>
      </c>
      <c r="B236" s="1"/>
      <c r="C236" s="1" t="s">
        <v>20</v>
      </c>
      <c r="D236" s="3">
        <v>64000</v>
      </c>
      <c r="E236"/>
      <c r="F236"/>
      <c r="G236"/>
      <c r="H236"/>
      <c r="I236"/>
      <c r="J236"/>
      <c r="K236"/>
      <c r="L236"/>
      <c r="M236" s="18" t="s">
        <v>173</v>
      </c>
      <c r="N236" t="s">
        <v>1277</v>
      </c>
      <c r="O236" t="s">
        <v>1395</v>
      </c>
      <c r="P236" s="1" t="s">
        <v>24</v>
      </c>
      <c r="Q236" s="13" t="s">
        <v>25</v>
      </c>
      <c r="R236">
        <v>2</v>
      </c>
      <c r="S236">
        <v>32000</v>
      </c>
      <c r="T236"/>
      <c r="U236" s="9" t="s">
        <v>1098</v>
      </c>
      <c r="V236" s="9" t="s">
        <v>1315</v>
      </c>
      <c r="W236" s="9"/>
      <c r="X236" s="9"/>
    </row>
    <row r="237" spans="1:24">
      <c r="A237" s="13" t="s">
        <v>19</v>
      </c>
      <c r="B237" s="1"/>
      <c r="C237" s="1" t="s">
        <v>20</v>
      </c>
      <c r="D237" s="3">
        <v>64000</v>
      </c>
      <c r="E237"/>
      <c r="F237"/>
      <c r="G237"/>
      <c r="H237"/>
      <c r="I237"/>
      <c r="J237"/>
      <c r="K237"/>
      <c r="L237"/>
      <c r="M237" s="18" t="s">
        <v>173</v>
      </c>
      <c r="N237" t="s">
        <v>1277</v>
      </c>
      <c r="O237" t="s">
        <v>1395</v>
      </c>
      <c r="P237" s="1" t="s">
        <v>24</v>
      </c>
      <c r="Q237" s="13" t="s">
        <v>25</v>
      </c>
      <c r="R237">
        <v>2</v>
      </c>
      <c r="S237">
        <v>32000</v>
      </c>
      <c r="T237"/>
      <c r="U237" s="9" t="s">
        <v>1099</v>
      </c>
      <c r="V237" s="9" t="s">
        <v>1316</v>
      </c>
      <c r="W237" s="9"/>
      <c r="X237" s="9"/>
    </row>
    <row r="238" spans="1:24">
      <c r="A238" s="13" t="s">
        <v>19</v>
      </c>
      <c r="B238" s="1"/>
      <c r="C238" s="1" t="s">
        <v>26</v>
      </c>
      <c r="D238" s="3">
        <v>74000</v>
      </c>
      <c r="E238"/>
      <c r="F238"/>
      <c r="G238"/>
      <c r="H238"/>
      <c r="I238"/>
      <c r="J238"/>
      <c r="K238"/>
      <c r="L238"/>
      <c r="M238" s="18" t="s">
        <v>173</v>
      </c>
      <c r="N238" t="s">
        <v>1277</v>
      </c>
      <c r="O238" t="s">
        <v>1395</v>
      </c>
      <c r="P238" s="1" t="s">
        <v>558</v>
      </c>
      <c r="Q238" s="13" t="s">
        <v>25</v>
      </c>
      <c r="R238">
        <v>2</v>
      </c>
      <c r="S238">
        <v>37000</v>
      </c>
      <c r="T238"/>
      <c r="U238" s="9" t="s">
        <v>343</v>
      </c>
      <c r="V238" s="9" t="s">
        <v>1317</v>
      </c>
      <c r="W238" s="9" t="s">
        <v>1395</v>
      </c>
      <c r="X238" s="9"/>
    </row>
    <row r="239" spans="1:24">
      <c r="A239" s="13" t="s">
        <v>19</v>
      </c>
      <c r="B239" s="1"/>
      <c r="C239" s="1" t="s">
        <v>29</v>
      </c>
      <c r="D239" s="3">
        <v>10000</v>
      </c>
      <c r="E239"/>
      <c r="F239"/>
      <c r="G239"/>
      <c r="H239"/>
      <c r="I239"/>
      <c r="J239"/>
      <c r="K239"/>
      <c r="L239"/>
      <c r="M239" s="18" t="s">
        <v>173</v>
      </c>
      <c r="N239" t="s">
        <v>1277</v>
      </c>
      <c r="O239" t="s">
        <v>1395</v>
      </c>
      <c r="P239" s="1" t="s">
        <v>30</v>
      </c>
      <c r="Q239" s="13" t="s">
        <v>25</v>
      </c>
      <c r="R239">
        <v>2</v>
      </c>
      <c r="S239">
        <v>5000</v>
      </c>
      <c r="T239"/>
      <c r="U239" s="9" t="s">
        <v>141</v>
      </c>
      <c r="V239" s="9" t="s">
        <v>1318</v>
      </c>
      <c r="W239" s="9" t="s">
        <v>1395</v>
      </c>
      <c r="X239" s="9"/>
    </row>
    <row r="240" spans="1:24">
      <c r="A240" s="13" t="s">
        <v>19</v>
      </c>
      <c r="B240" s="1"/>
      <c r="C240" s="1" t="s">
        <v>29</v>
      </c>
      <c r="D240" s="3">
        <v>10000</v>
      </c>
      <c r="E240"/>
      <c r="F240"/>
      <c r="G240"/>
      <c r="H240"/>
      <c r="I240"/>
      <c r="J240"/>
      <c r="K240"/>
      <c r="L240"/>
      <c r="M240" s="18" t="s">
        <v>173</v>
      </c>
      <c r="N240" t="s">
        <v>1277</v>
      </c>
      <c r="O240" t="s">
        <v>1395</v>
      </c>
      <c r="P240" s="1" t="s">
        <v>30</v>
      </c>
      <c r="Q240" s="13" t="s">
        <v>25</v>
      </c>
      <c r="R240">
        <v>2</v>
      </c>
      <c r="S240">
        <v>5000</v>
      </c>
      <c r="T240"/>
      <c r="U240" s="9" t="s">
        <v>1100</v>
      </c>
      <c r="V240" s="9" t="s">
        <v>1319</v>
      </c>
      <c r="W240" s="9" t="s">
        <v>94</v>
      </c>
      <c r="X240" s="9"/>
    </row>
    <row r="241" spans="1:24">
      <c r="A241" s="13" t="s">
        <v>19</v>
      </c>
      <c r="B241" s="1"/>
      <c r="C241" s="1" t="s">
        <v>32</v>
      </c>
      <c r="D241" s="3">
        <v>10000</v>
      </c>
      <c r="E241"/>
      <c r="F241"/>
      <c r="G241"/>
      <c r="H241"/>
      <c r="I241"/>
      <c r="J241"/>
      <c r="K241"/>
      <c r="L241"/>
      <c r="M241" s="18" t="s">
        <v>173</v>
      </c>
      <c r="N241" t="s">
        <v>1277</v>
      </c>
      <c r="O241" t="s">
        <v>1395</v>
      </c>
      <c r="P241" s="1" t="s">
        <v>559</v>
      </c>
      <c r="Q241" s="13" t="s">
        <v>25</v>
      </c>
      <c r="R241">
        <v>2</v>
      </c>
      <c r="S241">
        <v>5000</v>
      </c>
      <c r="T241"/>
      <c r="U241" s="9" t="s">
        <v>1101</v>
      </c>
      <c r="V241" s="9" t="s">
        <v>1320</v>
      </c>
      <c r="W241" s="9"/>
      <c r="X241" s="9"/>
    </row>
    <row r="242" spans="1:24">
      <c r="A242" s="13"/>
      <c r="B242" s="1"/>
      <c r="C242" s="1"/>
      <c r="D242" s="3" t="str">
        <f>SUBTOTAL(9,D236:D241)</f>
        <v>0</v>
      </c>
      <c r="E242"/>
      <c r="F242"/>
      <c r="G242"/>
      <c r="H242"/>
      <c r="I242"/>
      <c r="J242"/>
      <c r="K242"/>
      <c r="L242"/>
      <c r="M242" s="18" t="s">
        <v>174</v>
      </c>
      <c r="N242" t="s">
        <v>1433</v>
      </c>
      <c r="O242" t="s">
        <v>1395</v>
      </c>
      <c r="P242" s="1"/>
      <c r="Q242" s="13"/>
      <c r="R242"/>
      <c r="S242"/>
      <c r="T242"/>
      <c r="U242" s="9" t="s">
        <v>201</v>
      </c>
      <c r="V242" s="9" t="s">
        <v>1321</v>
      </c>
      <c r="W242" s="9" t="s">
        <v>1395</v>
      </c>
      <c r="X242" s="9"/>
    </row>
    <row r="243" spans="1:24">
      <c r="A243" s="13" t="s">
        <v>19</v>
      </c>
      <c r="B243" s="1"/>
      <c r="C243" s="1" t="s">
        <v>20</v>
      </c>
      <c r="D243" s="3">
        <v>64000</v>
      </c>
      <c r="E243"/>
      <c r="F243"/>
      <c r="G243"/>
      <c r="H243"/>
      <c r="I243"/>
      <c r="J243"/>
      <c r="K243"/>
      <c r="L243"/>
      <c r="M243" s="18" t="s">
        <v>175</v>
      </c>
      <c r="N243" t="s">
        <v>1270</v>
      </c>
      <c r="O243" t="s">
        <v>1395</v>
      </c>
      <c r="P243" s="1" t="s">
        <v>24</v>
      </c>
      <c r="Q243" s="13" t="s">
        <v>25</v>
      </c>
      <c r="R243">
        <v>2</v>
      </c>
      <c r="S243">
        <v>32000</v>
      </c>
      <c r="T243"/>
      <c r="U243" s="9" t="s">
        <v>345</v>
      </c>
      <c r="V243" s="9" t="s">
        <v>1322</v>
      </c>
      <c r="W243" s="9" t="s">
        <v>1395</v>
      </c>
      <c r="X243" s="9"/>
    </row>
    <row r="244" spans="1:24">
      <c r="A244" s="13" t="s">
        <v>19</v>
      </c>
      <c r="B244" s="1"/>
      <c r="C244" s="1" t="s">
        <v>20</v>
      </c>
      <c r="D244" s="3">
        <v>32000</v>
      </c>
      <c r="E244"/>
      <c r="F244"/>
      <c r="G244"/>
      <c r="H244"/>
      <c r="I244"/>
      <c r="J244"/>
      <c r="K244"/>
      <c r="L244"/>
      <c r="M244" s="18" t="s">
        <v>175</v>
      </c>
      <c r="N244" t="s">
        <v>1270</v>
      </c>
      <c r="O244" t="s">
        <v>1395</v>
      </c>
      <c r="P244" s="1" t="s">
        <v>24</v>
      </c>
      <c r="Q244" s="13" t="s">
        <v>25</v>
      </c>
      <c r="R244">
        <v>1</v>
      </c>
      <c r="S244">
        <v>32000</v>
      </c>
      <c r="T244"/>
      <c r="U244" s="9" t="s">
        <v>347</v>
      </c>
      <c r="V244" s="9" t="s">
        <v>1323</v>
      </c>
      <c r="W244" s="9" t="s">
        <v>1395</v>
      </c>
      <c r="X244" s="9"/>
    </row>
    <row r="245" spans="1:24">
      <c r="A245" s="13" t="s">
        <v>19</v>
      </c>
      <c r="B245" s="1"/>
      <c r="C245" s="1" t="s">
        <v>29</v>
      </c>
      <c r="D245" s="3">
        <v>10000</v>
      </c>
      <c r="E245"/>
      <c r="F245"/>
      <c r="G245"/>
      <c r="H245"/>
      <c r="I245"/>
      <c r="J245"/>
      <c r="K245"/>
      <c r="L245"/>
      <c r="M245" s="18" t="s">
        <v>175</v>
      </c>
      <c r="N245" t="s">
        <v>1270</v>
      </c>
      <c r="O245" t="s">
        <v>1395</v>
      </c>
      <c r="P245" s="1" t="s">
        <v>30</v>
      </c>
      <c r="Q245" s="13" t="s">
        <v>25</v>
      </c>
      <c r="R245">
        <v>2</v>
      </c>
      <c r="S245">
        <v>5000</v>
      </c>
      <c r="T245"/>
      <c r="U245" s="9" t="s">
        <v>433</v>
      </c>
      <c r="V245" s="9" t="s">
        <v>1324</v>
      </c>
      <c r="W245" s="9" t="s">
        <v>96</v>
      </c>
      <c r="X245" s="9"/>
    </row>
    <row r="246" spans="1:24">
      <c r="A246" s="13" t="s">
        <v>19</v>
      </c>
      <c r="B246" s="1"/>
      <c r="C246" s="1" t="s">
        <v>29</v>
      </c>
      <c r="D246" s="3">
        <v>5000</v>
      </c>
      <c r="E246"/>
      <c r="F246"/>
      <c r="G246"/>
      <c r="H246"/>
      <c r="I246"/>
      <c r="J246"/>
      <c r="K246"/>
      <c r="L246"/>
      <c r="M246" s="18" t="s">
        <v>175</v>
      </c>
      <c r="N246" t="s">
        <v>1270</v>
      </c>
      <c r="O246" t="s">
        <v>1395</v>
      </c>
      <c r="P246" s="1" t="s">
        <v>30</v>
      </c>
      <c r="Q246" s="13" t="s">
        <v>25</v>
      </c>
      <c r="R246">
        <v>1</v>
      </c>
      <c r="S246">
        <v>5000</v>
      </c>
      <c r="T246"/>
      <c r="U246" s="9" t="s">
        <v>245</v>
      </c>
      <c r="V246" s="9" t="s">
        <v>1325</v>
      </c>
      <c r="W246" s="9" t="s">
        <v>1395</v>
      </c>
      <c r="X246" s="9"/>
    </row>
    <row r="247" spans="1:24">
      <c r="A247" s="13"/>
      <c r="B247" s="1"/>
      <c r="C247" s="1"/>
      <c r="D247" s="3" t="str">
        <f>SUBTOTAL(9,D243:D246)</f>
        <v>0</v>
      </c>
      <c r="E247"/>
      <c r="F247"/>
      <c r="G247"/>
      <c r="H247"/>
      <c r="I247"/>
      <c r="J247"/>
      <c r="K247"/>
      <c r="L247"/>
      <c r="M247" s="18" t="s">
        <v>176</v>
      </c>
      <c r="N247" t="s">
        <v>1434</v>
      </c>
      <c r="O247" t="s">
        <v>1395</v>
      </c>
      <c r="P247" s="1"/>
      <c r="Q247" s="13"/>
      <c r="R247"/>
      <c r="S247"/>
      <c r="T247"/>
      <c r="U247" s="9" t="s">
        <v>189</v>
      </c>
      <c r="V247" s="9" t="s">
        <v>1326</v>
      </c>
      <c r="W247" s="9" t="s">
        <v>23</v>
      </c>
      <c r="X247" s="9"/>
    </row>
    <row r="248" spans="1:24">
      <c r="A248" s="13" t="s">
        <v>19</v>
      </c>
      <c r="B248" s="1"/>
      <c r="C248" s="1" t="s">
        <v>20</v>
      </c>
      <c r="D248" s="3">
        <v>64000</v>
      </c>
      <c r="E248"/>
      <c r="F248"/>
      <c r="G248"/>
      <c r="H248"/>
      <c r="I248"/>
      <c r="J248"/>
      <c r="K248"/>
      <c r="L248"/>
      <c r="M248" s="18" t="s">
        <v>177</v>
      </c>
      <c r="N248" t="s">
        <v>1276</v>
      </c>
      <c r="O248" t="s">
        <v>94</v>
      </c>
      <c r="P248" s="1" t="s">
        <v>24</v>
      </c>
      <c r="Q248" s="13" t="s">
        <v>25</v>
      </c>
      <c r="R248">
        <v>2</v>
      </c>
      <c r="S248">
        <v>32000</v>
      </c>
      <c r="T248"/>
      <c r="U248" s="9" t="s">
        <v>379</v>
      </c>
      <c r="V248" s="9" t="s">
        <v>1327</v>
      </c>
      <c r="W248" s="9" t="s">
        <v>94</v>
      </c>
      <c r="X248" s="9"/>
    </row>
    <row r="249" spans="1:24">
      <c r="A249" s="13" t="s">
        <v>19</v>
      </c>
      <c r="B249" s="1"/>
      <c r="C249" s="1" t="s">
        <v>29</v>
      </c>
      <c r="D249" s="3">
        <v>10000</v>
      </c>
      <c r="E249"/>
      <c r="F249"/>
      <c r="G249"/>
      <c r="H249"/>
      <c r="I249"/>
      <c r="J249"/>
      <c r="K249"/>
      <c r="L249"/>
      <c r="M249" s="18" t="s">
        <v>177</v>
      </c>
      <c r="N249" t="s">
        <v>1276</v>
      </c>
      <c r="O249" t="s">
        <v>94</v>
      </c>
      <c r="P249" s="1" t="s">
        <v>30</v>
      </c>
      <c r="Q249" s="13" t="s">
        <v>25</v>
      </c>
      <c r="R249">
        <v>2</v>
      </c>
      <c r="S249">
        <v>5000</v>
      </c>
      <c r="T249"/>
      <c r="U249" s="9" t="s">
        <v>319</v>
      </c>
      <c r="V249" s="9" t="s">
        <v>1328</v>
      </c>
      <c r="W249" s="9" t="s">
        <v>23</v>
      </c>
      <c r="X249" s="9"/>
    </row>
    <row r="250" spans="1:24">
      <c r="A250" s="13"/>
      <c r="B250" s="1"/>
      <c r="C250" s="1"/>
      <c r="D250" s="3" t="str">
        <f>SUBTOTAL(9,D248:D249)</f>
        <v>0</v>
      </c>
      <c r="E250"/>
      <c r="F250"/>
      <c r="G250"/>
      <c r="H250"/>
      <c r="I250"/>
      <c r="J250"/>
      <c r="K250"/>
      <c r="L250"/>
      <c r="M250" s="18" t="s">
        <v>178</v>
      </c>
      <c r="N250" t="s">
        <v>1435</v>
      </c>
      <c r="O250" t="s">
        <v>94</v>
      </c>
      <c r="P250" s="1"/>
      <c r="Q250" s="13"/>
      <c r="R250"/>
      <c r="S250"/>
      <c r="T250"/>
      <c r="U250" s="9" t="s">
        <v>321</v>
      </c>
      <c r="V250" s="9" t="s">
        <v>1329</v>
      </c>
      <c r="W250" s="9" t="s">
        <v>94</v>
      </c>
      <c r="X250" s="9"/>
    </row>
    <row r="251" spans="1:24">
      <c r="A251" s="13" t="s">
        <v>19</v>
      </c>
      <c r="B251" s="1"/>
      <c r="C251" s="1" t="s">
        <v>20</v>
      </c>
      <c r="D251" s="3">
        <v>64000</v>
      </c>
      <c r="E251"/>
      <c r="F251"/>
      <c r="G251"/>
      <c r="H251"/>
      <c r="I251"/>
      <c r="J251"/>
      <c r="K251"/>
      <c r="L251"/>
      <c r="M251" s="18" t="s">
        <v>179</v>
      </c>
      <c r="N251" t="s">
        <v>1307</v>
      </c>
      <c r="O251" t="s">
        <v>1395</v>
      </c>
      <c r="P251" s="1" t="s">
        <v>560</v>
      </c>
      <c r="Q251" s="13" t="s">
        <v>25</v>
      </c>
      <c r="R251">
        <v>2</v>
      </c>
      <c r="S251">
        <v>32000</v>
      </c>
      <c r="T251"/>
      <c r="U251" s="9" t="s">
        <v>263</v>
      </c>
      <c r="V251" s="9" t="s">
        <v>1330</v>
      </c>
      <c r="W251" s="9" t="s">
        <v>23</v>
      </c>
      <c r="X251" s="9"/>
    </row>
    <row r="252" spans="1:24">
      <c r="A252" s="13" t="s">
        <v>19</v>
      </c>
      <c r="B252" s="1"/>
      <c r="C252" s="1" t="s">
        <v>20</v>
      </c>
      <c r="D252" s="3">
        <v>32000</v>
      </c>
      <c r="E252"/>
      <c r="F252"/>
      <c r="G252"/>
      <c r="H252"/>
      <c r="I252"/>
      <c r="J252"/>
      <c r="K252"/>
      <c r="L252"/>
      <c r="M252" s="18" t="s">
        <v>179</v>
      </c>
      <c r="N252" t="s">
        <v>1307</v>
      </c>
      <c r="O252" t="s">
        <v>1395</v>
      </c>
      <c r="P252" s="1" t="s">
        <v>561</v>
      </c>
      <c r="Q252" s="13" t="s">
        <v>25</v>
      </c>
      <c r="R252">
        <v>1</v>
      </c>
      <c r="S252">
        <v>32000</v>
      </c>
      <c r="T252"/>
      <c r="U252" s="9" t="s">
        <v>265</v>
      </c>
      <c r="V252" s="9" t="s">
        <v>1331</v>
      </c>
      <c r="W252" s="9" t="s">
        <v>1395</v>
      </c>
      <c r="X252" s="9"/>
    </row>
    <row r="253" spans="1:24">
      <c r="A253" s="13" t="s">
        <v>19</v>
      </c>
      <c r="B253" s="1"/>
      <c r="C253" s="1" t="s">
        <v>20</v>
      </c>
      <c r="D253" s="3">
        <v>64000</v>
      </c>
      <c r="E253"/>
      <c r="F253"/>
      <c r="G253"/>
      <c r="H253"/>
      <c r="I253"/>
      <c r="J253"/>
      <c r="K253"/>
      <c r="L253"/>
      <c r="M253" s="18" t="s">
        <v>179</v>
      </c>
      <c r="N253" t="s">
        <v>1307</v>
      </c>
      <c r="O253" t="s">
        <v>1395</v>
      </c>
      <c r="P253" s="1" t="s">
        <v>496</v>
      </c>
      <c r="Q253" s="13" t="s">
        <v>25</v>
      </c>
      <c r="R253">
        <v>2</v>
      </c>
      <c r="S253">
        <v>32000</v>
      </c>
      <c r="T253"/>
      <c r="U253" s="9" t="s">
        <v>441</v>
      </c>
      <c r="V253" s="9" t="s">
        <v>1332</v>
      </c>
      <c r="W253" s="9" t="s">
        <v>23</v>
      </c>
      <c r="X253" s="9"/>
    </row>
    <row r="254" spans="1:24">
      <c r="A254" s="13" t="s">
        <v>19</v>
      </c>
      <c r="B254" s="1"/>
      <c r="C254" s="1" t="s">
        <v>29</v>
      </c>
      <c r="D254" s="3">
        <v>10000</v>
      </c>
      <c r="E254"/>
      <c r="F254"/>
      <c r="G254"/>
      <c r="H254"/>
      <c r="I254"/>
      <c r="J254"/>
      <c r="K254"/>
      <c r="L254"/>
      <c r="M254" s="18" t="s">
        <v>179</v>
      </c>
      <c r="N254" t="s">
        <v>1307</v>
      </c>
      <c r="O254" t="s">
        <v>1395</v>
      </c>
      <c r="P254" s="1" t="s">
        <v>562</v>
      </c>
      <c r="Q254" s="13" t="s">
        <v>25</v>
      </c>
      <c r="R254">
        <v>2</v>
      </c>
      <c r="S254">
        <v>5000</v>
      </c>
      <c r="T254"/>
      <c r="U254" s="9" t="s">
        <v>369</v>
      </c>
      <c r="V254" s="9" t="s">
        <v>1333</v>
      </c>
      <c r="W254" s="9" t="s">
        <v>1395</v>
      </c>
      <c r="X254" s="9"/>
    </row>
    <row r="255" spans="1:24">
      <c r="A255" s="13" t="s">
        <v>19</v>
      </c>
      <c r="B255" s="1"/>
      <c r="C255" s="1" t="s">
        <v>29</v>
      </c>
      <c r="D255" s="3">
        <v>5000</v>
      </c>
      <c r="E255"/>
      <c r="F255"/>
      <c r="G255"/>
      <c r="H255"/>
      <c r="I255"/>
      <c r="J255"/>
      <c r="K255"/>
      <c r="L255"/>
      <c r="M255" s="18" t="s">
        <v>179</v>
      </c>
      <c r="N255" t="s">
        <v>1307</v>
      </c>
      <c r="O255" t="s">
        <v>1395</v>
      </c>
      <c r="P255" s="1" t="s">
        <v>563</v>
      </c>
      <c r="Q255" s="13" t="s">
        <v>25</v>
      </c>
      <c r="R255">
        <v>1</v>
      </c>
      <c r="S255">
        <v>5000</v>
      </c>
      <c r="T255"/>
      <c r="U255" s="9" t="s">
        <v>199</v>
      </c>
      <c r="V255" s="9" t="s">
        <v>1334</v>
      </c>
      <c r="W255" s="9" t="s">
        <v>98</v>
      </c>
      <c r="X255" s="9"/>
    </row>
    <row r="256" spans="1:24">
      <c r="A256" s="13" t="s">
        <v>19</v>
      </c>
      <c r="B256" s="1"/>
      <c r="C256" s="1" t="s">
        <v>29</v>
      </c>
      <c r="D256" s="3">
        <v>10000</v>
      </c>
      <c r="E256"/>
      <c r="F256"/>
      <c r="G256"/>
      <c r="H256"/>
      <c r="I256"/>
      <c r="J256"/>
      <c r="K256"/>
      <c r="L256"/>
      <c r="M256" s="18" t="s">
        <v>179</v>
      </c>
      <c r="N256" t="s">
        <v>1307</v>
      </c>
      <c r="O256" t="s">
        <v>1395</v>
      </c>
      <c r="P256" s="1" t="s">
        <v>500</v>
      </c>
      <c r="Q256" s="13" t="s">
        <v>25</v>
      </c>
      <c r="R256">
        <v>2</v>
      </c>
      <c r="S256">
        <v>5000</v>
      </c>
      <c r="T256"/>
      <c r="U256" s="9" t="s">
        <v>197</v>
      </c>
      <c r="V256" s="9" t="s">
        <v>1335</v>
      </c>
      <c r="W256" s="9" t="s">
        <v>98</v>
      </c>
      <c r="X256" s="9"/>
    </row>
    <row r="257" spans="1:24">
      <c r="A257" s="13"/>
      <c r="B257" s="1"/>
      <c r="C257" s="1"/>
      <c r="D257" s="3" t="str">
        <f>SUBTOTAL(9,D251:D256)</f>
        <v>0</v>
      </c>
      <c r="E257"/>
      <c r="F257"/>
      <c r="G257"/>
      <c r="H257"/>
      <c r="I257"/>
      <c r="J257"/>
      <c r="K257"/>
      <c r="L257"/>
      <c r="M257" s="18" t="s">
        <v>180</v>
      </c>
      <c r="N257" t="s">
        <v>1436</v>
      </c>
      <c r="O257" t="s">
        <v>1395</v>
      </c>
      <c r="P257" s="1"/>
      <c r="Q257" s="13"/>
      <c r="R257"/>
      <c r="S257"/>
      <c r="T257"/>
      <c r="U257" s="9" t="s">
        <v>207</v>
      </c>
      <c r="V257" s="9" t="s">
        <v>1336</v>
      </c>
      <c r="W257" s="9" t="s">
        <v>96</v>
      </c>
      <c r="X257" s="9"/>
    </row>
    <row r="258" spans="1:24">
      <c r="A258" s="13" t="s">
        <v>19</v>
      </c>
      <c r="B258" s="1"/>
      <c r="C258" s="1" t="s">
        <v>20</v>
      </c>
      <c r="D258" s="3">
        <v>32000</v>
      </c>
      <c r="E258"/>
      <c r="F258"/>
      <c r="G258"/>
      <c r="H258"/>
      <c r="I258"/>
      <c r="J258"/>
      <c r="K258"/>
      <c r="L258"/>
      <c r="M258" s="18" t="s">
        <v>181</v>
      </c>
      <c r="N258" t="s">
        <v>1162</v>
      </c>
      <c r="O258" t="s">
        <v>1395</v>
      </c>
      <c r="P258" s="1" t="s">
        <v>24</v>
      </c>
      <c r="Q258" s="13" t="s">
        <v>25</v>
      </c>
      <c r="R258">
        <v>1</v>
      </c>
      <c r="S258">
        <v>32000</v>
      </c>
      <c r="T258"/>
      <c r="U258" s="9" t="s">
        <v>323</v>
      </c>
      <c r="V258" s="9" t="s">
        <v>1337</v>
      </c>
      <c r="W258" s="9" t="s">
        <v>94</v>
      </c>
      <c r="X258" s="9"/>
    </row>
    <row r="259" spans="1:24">
      <c r="A259" s="13" t="s">
        <v>19</v>
      </c>
      <c r="B259" s="1"/>
      <c r="C259" s="1" t="s">
        <v>26</v>
      </c>
      <c r="D259" s="3">
        <v>32000</v>
      </c>
      <c r="E259"/>
      <c r="F259"/>
      <c r="G259"/>
      <c r="H259"/>
      <c r="I259"/>
      <c r="J259"/>
      <c r="K259"/>
      <c r="L259"/>
      <c r="M259" s="18" t="s">
        <v>181</v>
      </c>
      <c r="N259" t="s">
        <v>1162</v>
      </c>
      <c r="O259" t="s">
        <v>1395</v>
      </c>
      <c r="P259" s="1" t="s">
        <v>512</v>
      </c>
      <c r="Q259" s="13" t="s">
        <v>25</v>
      </c>
      <c r="R259">
        <v>1</v>
      </c>
      <c r="S259">
        <v>32000</v>
      </c>
      <c r="T259"/>
      <c r="U259" s="9" t="s">
        <v>143</v>
      </c>
      <c r="V259" s="9" t="s">
        <v>1338</v>
      </c>
      <c r="W259" s="9" t="s">
        <v>98</v>
      </c>
      <c r="X259" s="9"/>
    </row>
    <row r="260" spans="1:24">
      <c r="A260" s="13" t="s">
        <v>19</v>
      </c>
      <c r="B260" s="1"/>
      <c r="C260" s="1" t="s">
        <v>26</v>
      </c>
      <c r="D260" s="3">
        <v>64000</v>
      </c>
      <c r="E260"/>
      <c r="F260"/>
      <c r="G260"/>
      <c r="H260"/>
      <c r="I260"/>
      <c r="J260"/>
      <c r="K260"/>
      <c r="L260"/>
      <c r="M260" s="18" t="s">
        <v>181</v>
      </c>
      <c r="N260" t="s">
        <v>1162</v>
      </c>
      <c r="O260" t="s">
        <v>1395</v>
      </c>
      <c r="P260" s="1" t="s">
        <v>512</v>
      </c>
      <c r="Q260" s="13" t="s">
        <v>25</v>
      </c>
      <c r="R260">
        <v>2</v>
      </c>
      <c r="S260">
        <v>32000</v>
      </c>
      <c r="T260"/>
      <c r="U260" s="9" t="s">
        <v>219</v>
      </c>
      <c r="V260" s="9" t="s">
        <v>1339</v>
      </c>
      <c r="W260" s="9" t="s">
        <v>1395</v>
      </c>
      <c r="X260" s="9"/>
    </row>
    <row r="261" spans="1:24">
      <c r="A261" s="13" t="s">
        <v>19</v>
      </c>
      <c r="B261" s="1"/>
      <c r="C261" s="1" t="s">
        <v>26</v>
      </c>
      <c r="D261" s="3">
        <v>37000</v>
      </c>
      <c r="E261"/>
      <c r="F261"/>
      <c r="G261"/>
      <c r="H261"/>
      <c r="I261"/>
      <c r="J261"/>
      <c r="K261"/>
      <c r="L261"/>
      <c r="M261" s="18" t="s">
        <v>181</v>
      </c>
      <c r="N261" t="s">
        <v>1162</v>
      </c>
      <c r="O261" t="s">
        <v>1395</v>
      </c>
      <c r="P261" s="1" t="s">
        <v>564</v>
      </c>
      <c r="Q261" s="13" t="s">
        <v>25</v>
      </c>
      <c r="R261">
        <v>1</v>
      </c>
      <c r="S261">
        <v>37000</v>
      </c>
      <c r="T261"/>
      <c r="U261" s="9" t="s">
        <v>467</v>
      </c>
      <c r="V261" s="9" t="s">
        <v>1340</v>
      </c>
      <c r="W261" s="9" t="s">
        <v>23</v>
      </c>
      <c r="X261" s="9"/>
    </row>
    <row r="262" spans="1:24">
      <c r="A262" s="13" t="s">
        <v>19</v>
      </c>
      <c r="B262" s="1"/>
      <c r="C262" s="1" t="s">
        <v>26</v>
      </c>
      <c r="D262" s="3">
        <v>111000</v>
      </c>
      <c r="E262"/>
      <c r="F262"/>
      <c r="G262"/>
      <c r="H262"/>
      <c r="I262"/>
      <c r="J262"/>
      <c r="K262"/>
      <c r="L262"/>
      <c r="M262" s="18" t="s">
        <v>181</v>
      </c>
      <c r="N262" t="s">
        <v>1162</v>
      </c>
      <c r="O262" t="s">
        <v>1395</v>
      </c>
      <c r="P262" s="1" t="s">
        <v>565</v>
      </c>
      <c r="Q262" s="13" t="s">
        <v>25</v>
      </c>
      <c r="R262">
        <v>3</v>
      </c>
      <c r="S262">
        <v>37000</v>
      </c>
      <c r="T262"/>
      <c r="U262" s="9" t="s">
        <v>191</v>
      </c>
      <c r="V262" s="9" t="s">
        <v>1341</v>
      </c>
      <c r="W262" s="9" t="s">
        <v>96</v>
      </c>
      <c r="X262" s="9"/>
    </row>
    <row r="263" spans="1:24">
      <c r="A263" s="13" t="s">
        <v>19</v>
      </c>
      <c r="B263" s="1"/>
      <c r="C263" s="1" t="s">
        <v>29</v>
      </c>
      <c r="D263" s="3">
        <v>5000</v>
      </c>
      <c r="E263"/>
      <c r="F263"/>
      <c r="G263"/>
      <c r="H263"/>
      <c r="I263"/>
      <c r="J263"/>
      <c r="K263"/>
      <c r="L263"/>
      <c r="M263" s="18" t="s">
        <v>181</v>
      </c>
      <c r="N263" t="s">
        <v>1162</v>
      </c>
      <c r="O263" t="s">
        <v>1395</v>
      </c>
      <c r="P263" s="1" t="s">
        <v>30</v>
      </c>
      <c r="Q263" s="13" t="s">
        <v>25</v>
      </c>
      <c r="R263">
        <v>1</v>
      </c>
      <c r="S263">
        <v>5000</v>
      </c>
      <c r="T263"/>
      <c r="U263" s="9" t="s">
        <v>187</v>
      </c>
      <c r="V263" s="9" t="s">
        <v>1342</v>
      </c>
      <c r="W263" s="9" t="s">
        <v>1395</v>
      </c>
      <c r="X263" s="9"/>
    </row>
    <row r="264" spans="1:24">
      <c r="A264" s="13" t="s">
        <v>19</v>
      </c>
      <c r="B264" s="1"/>
      <c r="C264" s="1" t="s">
        <v>32</v>
      </c>
      <c r="D264" s="3">
        <v>5000</v>
      </c>
      <c r="E264"/>
      <c r="F264"/>
      <c r="G264"/>
      <c r="H264"/>
      <c r="I264"/>
      <c r="J264"/>
      <c r="K264"/>
      <c r="L264"/>
      <c r="M264" s="18" t="s">
        <v>181</v>
      </c>
      <c r="N264" t="s">
        <v>1162</v>
      </c>
      <c r="O264" t="s">
        <v>1395</v>
      </c>
      <c r="P264" s="1" t="s">
        <v>515</v>
      </c>
      <c r="Q264" s="13" t="s">
        <v>25</v>
      </c>
      <c r="R264">
        <v>1</v>
      </c>
      <c r="S264">
        <v>5000</v>
      </c>
      <c r="T264"/>
      <c r="U264" s="9" t="s">
        <v>1102</v>
      </c>
      <c r="V264" s="9" t="s">
        <v>1343</v>
      </c>
      <c r="W264" s="9"/>
      <c r="X264" s="9"/>
    </row>
    <row r="265" spans="1:24">
      <c r="A265" s="13" t="s">
        <v>19</v>
      </c>
      <c r="B265" s="1"/>
      <c r="C265" s="1" t="s">
        <v>32</v>
      </c>
      <c r="D265" s="3">
        <v>10000</v>
      </c>
      <c r="E265"/>
      <c r="F265"/>
      <c r="G265"/>
      <c r="H265"/>
      <c r="I265"/>
      <c r="J265"/>
      <c r="K265"/>
      <c r="L265"/>
      <c r="M265" s="18" t="s">
        <v>181</v>
      </c>
      <c r="N265" t="s">
        <v>1162</v>
      </c>
      <c r="O265" t="s">
        <v>1395</v>
      </c>
      <c r="P265" s="1" t="s">
        <v>515</v>
      </c>
      <c r="Q265" s="13" t="s">
        <v>25</v>
      </c>
      <c r="R265">
        <v>2</v>
      </c>
      <c r="S265">
        <v>5000</v>
      </c>
      <c r="T265"/>
      <c r="U265" s="9" t="s">
        <v>1103</v>
      </c>
      <c r="V265" s="9" t="s">
        <v>1103</v>
      </c>
      <c r="W265" s="9"/>
      <c r="X265" s="9"/>
    </row>
    <row r="266" spans="1:24">
      <c r="A266" s="13" t="s">
        <v>19</v>
      </c>
      <c r="B266" s="1"/>
      <c r="C266" s="1" t="s">
        <v>32</v>
      </c>
      <c r="D266" s="3">
        <v>5000</v>
      </c>
      <c r="E266"/>
      <c r="F266"/>
      <c r="G266"/>
      <c r="H266"/>
      <c r="I266"/>
      <c r="J266"/>
      <c r="K266"/>
      <c r="L266"/>
      <c r="M266" s="18" t="s">
        <v>181</v>
      </c>
      <c r="N266" t="s">
        <v>1162</v>
      </c>
      <c r="O266" t="s">
        <v>1395</v>
      </c>
      <c r="P266" s="1" t="s">
        <v>566</v>
      </c>
      <c r="Q266" s="13" t="s">
        <v>25</v>
      </c>
      <c r="R266">
        <v>1</v>
      </c>
      <c r="S266">
        <v>5000</v>
      </c>
      <c r="T266"/>
      <c r="U266" s="9" t="s">
        <v>221</v>
      </c>
      <c r="V266" s="9" t="s">
        <v>1344</v>
      </c>
      <c r="W266" s="9" t="s">
        <v>93</v>
      </c>
      <c r="X266" s="9"/>
    </row>
    <row r="267" spans="1:24">
      <c r="A267" s="13" t="s">
        <v>19</v>
      </c>
      <c r="B267" s="1"/>
      <c r="C267" s="1" t="s">
        <v>32</v>
      </c>
      <c r="D267" s="3">
        <v>15000</v>
      </c>
      <c r="E267"/>
      <c r="F267"/>
      <c r="G267"/>
      <c r="H267"/>
      <c r="I267"/>
      <c r="J267"/>
      <c r="K267"/>
      <c r="L267"/>
      <c r="M267" s="18" t="s">
        <v>181</v>
      </c>
      <c r="N267" t="s">
        <v>1162</v>
      </c>
      <c r="O267" t="s">
        <v>1395</v>
      </c>
      <c r="P267" s="1" t="s">
        <v>567</v>
      </c>
      <c r="Q267" s="13" t="s">
        <v>25</v>
      </c>
      <c r="R267">
        <v>3</v>
      </c>
      <c r="S267">
        <v>5000</v>
      </c>
      <c r="T267"/>
      <c r="U267" s="9" t="s">
        <v>481</v>
      </c>
      <c r="V267" s="9" t="s">
        <v>1345</v>
      </c>
      <c r="W267" s="9" t="s">
        <v>1395</v>
      </c>
      <c r="X267" s="9"/>
    </row>
    <row r="268" spans="1:24">
      <c r="A268" s="13"/>
      <c r="B268" s="1"/>
      <c r="C268" s="1"/>
      <c r="D268" s="3" t="str">
        <f>SUBTOTAL(9,D258:D267)</f>
        <v>0</v>
      </c>
      <c r="E268"/>
      <c r="F268"/>
      <c r="G268"/>
      <c r="H268"/>
      <c r="I268"/>
      <c r="J268"/>
      <c r="K268"/>
      <c r="L268"/>
      <c r="M268" s="18" t="s">
        <v>182</v>
      </c>
      <c r="N268" t="s">
        <v>1437</v>
      </c>
      <c r="O268" t="s">
        <v>1395</v>
      </c>
      <c r="P268" s="1"/>
      <c r="Q268" s="13"/>
      <c r="R268"/>
      <c r="S268"/>
      <c r="T268"/>
      <c r="U268" s="9" t="s">
        <v>1104</v>
      </c>
      <c r="V268" s="9" t="s">
        <v>1346</v>
      </c>
      <c r="W268" s="9"/>
      <c r="X268" s="9"/>
    </row>
    <row r="269" spans="1:24">
      <c r="A269" s="13" t="s">
        <v>19</v>
      </c>
      <c r="B269" s="1"/>
      <c r="C269" s="1" t="s">
        <v>20</v>
      </c>
      <c r="D269" s="3">
        <v>32000</v>
      </c>
      <c r="E269"/>
      <c r="F269"/>
      <c r="G269"/>
      <c r="H269"/>
      <c r="I269"/>
      <c r="J269"/>
      <c r="K269"/>
      <c r="L269"/>
      <c r="M269" s="18" t="s">
        <v>183</v>
      </c>
      <c r="N269" t="s">
        <v>1146</v>
      </c>
      <c r="O269" t="s">
        <v>23</v>
      </c>
      <c r="P269" s="1" t="s">
        <v>568</v>
      </c>
      <c r="Q269" s="13" t="s">
        <v>25</v>
      </c>
      <c r="R269">
        <v>1</v>
      </c>
      <c r="S269">
        <v>32000</v>
      </c>
      <c r="T269"/>
      <c r="U269" s="9" t="s">
        <v>325</v>
      </c>
      <c r="V269" s="9" t="s">
        <v>1347</v>
      </c>
      <c r="W269" s="9" t="s">
        <v>23</v>
      </c>
      <c r="X269" s="9"/>
    </row>
    <row r="270" spans="1:24">
      <c r="A270" s="13" t="s">
        <v>19</v>
      </c>
      <c r="B270" s="1"/>
      <c r="C270" s="1" t="s">
        <v>20</v>
      </c>
      <c r="D270" s="3">
        <v>32000</v>
      </c>
      <c r="E270"/>
      <c r="F270"/>
      <c r="G270"/>
      <c r="H270"/>
      <c r="I270"/>
      <c r="J270"/>
      <c r="K270"/>
      <c r="L270"/>
      <c r="M270" s="18" t="s">
        <v>183</v>
      </c>
      <c r="N270" t="s">
        <v>1146</v>
      </c>
      <c r="O270" t="s">
        <v>23</v>
      </c>
      <c r="P270" s="1" t="s">
        <v>554</v>
      </c>
      <c r="Q270" s="13" t="s">
        <v>25</v>
      </c>
      <c r="R270">
        <v>1</v>
      </c>
      <c r="S270">
        <v>32000</v>
      </c>
      <c r="T270"/>
      <c r="U270" s="9" t="s">
        <v>329</v>
      </c>
      <c r="V270" s="9" t="s">
        <v>1348</v>
      </c>
      <c r="W270" s="9" t="s">
        <v>98</v>
      </c>
      <c r="X270" s="9"/>
    </row>
    <row r="271" spans="1:24">
      <c r="A271" s="13" t="s">
        <v>19</v>
      </c>
      <c r="B271" s="1"/>
      <c r="C271" s="1" t="s">
        <v>26</v>
      </c>
      <c r="D271" s="3">
        <v>32000</v>
      </c>
      <c r="E271"/>
      <c r="F271"/>
      <c r="G271"/>
      <c r="H271"/>
      <c r="I271"/>
      <c r="J271"/>
      <c r="K271"/>
      <c r="L271"/>
      <c r="M271" s="18" t="s">
        <v>183</v>
      </c>
      <c r="N271" t="s">
        <v>1146</v>
      </c>
      <c r="O271" t="s">
        <v>23</v>
      </c>
      <c r="P271" s="1" t="s">
        <v>569</v>
      </c>
      <c r="Q271" s="13" t="s">
        <v>25</v>
      </c>
      <c r="R271">
        <v>1</v>
      </c>
      <c r="S271">
        <v>32000</v>
      </c>
      <c r="T271"/>
      <c r="U271" s="9" t="s">
        <v>327</v>
      </c>
      <c r="V271" s="9" t="s">
        <v>1349</v>
      </c>
      <c r="W271" s="9" t="s">
        <v>96</v>
      </c>
      <c r="X271" s="9"/>
    </row>
    <row r="272" spans="1:24">
      <c r="A272" s="13" t="s">
        <v>19</v>
      </c>
      <c r="B272" s="1"/>
      <c r="C272" s="1" t="s">
        <v>26</v>
      </c>
      <c r="D272" s="3">
        <v>32000</v>
      </c>
      <c r="E272"/>
      <c r="F272"/>
      <c r="G272"/>
      <c r="H272"/>
      <c r="I272"/>
      <c r="J272"/>
      <c r="K272"/>
      <c r="L272"/>
      <c r="M272" s="18" t="s">
        <v>183</v>
      </c>
      <c r="N272" t="s">
        <v>1146</v>
      </c>
      <c r="O272" t="s">
        <v>23</v>
      </c>
      <c r="P272" s="1" t="s">
        <v>570</v>
      </c>
      <c r="Q272" s="13" t="s">
        <v>25</v>
      </c>
      <c r="R272">
        <v>1</v>
      </c>
      <c r="S272">
        <v>32000</v>
      </c>
      <c r="T272"/>
      <c r="U272" s="9" t="s">
        <v>1105</v>
      </c>
      <c r="V272" s="9" t="s">
        <v>1350</v>
      </c>
      <c r="W272" s="9"/>
      <c r="X272" s="9"/>
    </row>
    <row r="273" spans="1:24">
      <c r="A273" s="13" t="s">
        <v>19</v>
      </c>
      <c r="B273" s="1"/>
      <c r="C273" s="1" t="s">
        <v>29</v>
      </c>
      <c r="D273" s="3">
        <v>5000</v>
      </c>
      <c r="E273"/>
      <c r="F273"/>
      <c r="G273"/>
      <c r="H273"/>
      <c r="I273"/>
      <c r="J273"/>
      <c r="K273"/>
      <c r="L273"/>
      <c r="M273" s="18" t="s">
        <v>183</v>
      </c>
      <c r="N273" t="s">
        <v>1146</v>
      </c>
      <c r="O273" t="s">
        <v>23</v>
      </c>
      <c r="P273" s="1" t="s">
        <v>571</v>
      </c>
      <c r="Q273" s="13" t="s">
        <v>25</v>
      </c>
      <c r="R273">
        <v>1</v>
      </c>
      <c r="S273">
        <v>5000</v>
      </c>
      <c r="T273"/>
      <c r="U273" s="9" t="s">
        <v>1106</v>
      </c>
      <c r="V273" s="9" t="s">
        <v>1351</v>
      </c>
      <c r="W273" s="9"/>
      <c r="X273" s="9"/>
    </row>
    <row r="274" spans="1:24">
      <c r="A274" s="13" t="s">
        <v>19</v>
      </c>
      <c r="B274" s="1"/>
      <c r="C274" s="1" t="s">
        <v>29</v>
      </c>
      <c r="D274" s="3">
        <v>5000</v>
      </c>
      <c r="E274"/>
      <c r="F274"/>
      <c r="G274"/>
      <c r="H274"/>
      <c r="I274"/>
      <c r="J274"/>
      <c r="K274"/>
      <c r="L274"/>
      <c r="M274" s="18" t="s">
        <v>183</v>
      </c>
      <c r="N274" t="s">
        <v>1146</v>
      </c>
      <c r="O274" t="s">
        <v>23</v>
      </c>
      <c r="P274" s="1" t="s">
        <v>555</v>
      </c>
      <c r="Q274" s="13" t="s">
        <v>25</v>
      </c>
      <c r="R274">
        <v>1</v>
      </c>
      <c r="S274">
        <v>5000</v>
      </c>
      <c r="T274"/>
      <c r="U274" s="9" t="s">
        <v>1107</v>
      </c>
      <c r="V274" s="9" t="s">
        <v>1352</v>
      </c>
      <c r="W274" s="9" t="s">
        <v>98</v>
      </c>
      <c r="X274" s="9"/>
    </row>
    <row r="275" spans="1:24">
      <c r="A275" s="13" t="s">
        <v>19</v>
      </c>
      <c r="B275" s="1"/>
      <c r="C275" s="1" t="s">
        <v>32</v>
      </c>
      <c r="D275" s="3">
        <v>5000</v>
      </c>
      <c r="E275"/>
      <c r="F275"/>
      <c r="G275"/>
      <c r="H275"/>
      <c r="I275"/>
      <c r="J275"/>
      <c r="K275"/>
      <c r="L275"/>
      <c r="M275" s="18" t="s">
        <v>183</v>
      </c>
      <c r="N275" t="s">
        <v>1146</v>
      </c>
      <c r="O275" t="s">
        <v>23</v>
      </c>
      <c r="P275" s="1" t="s">
        <v>572</v>
      </c>
      <c r="Q275" s="13" t="s">
        <v>25</v>
      </c>
      <c r="R275">
        <v>1</v>
      </c>
      <c r="S275">
        <v>5000</v>
      </c>
      <c r="T275"/>
      <c r="U275" s="9" t="s">
        <v>223</v>
      </c>
      <c r="V275" s="9" t="s">
        <v>1353</v>
      </c>
      <c r="W275" s="9" t="s">
        <v>94</v>
      </c>
      <c r="X275" s="9"/>
    </row>
    <row r="276" spans="1:24">
      <c r="A276" s="13" t="s">
        <v>19</v>
      </c>
      <c r="B276" s="1"/>
      <c r="C276" s="1" t="s">
        <v>32</v>
      </c>
      <c r="D276" s="3">
        <v>5000</v>
      </c>
      <c r="E276"/>
      <c r="F276"/>
      <c r="G276"/>
      <c r="H276"/>
      <c r="I276"/>
      <c r="J276"/>
      <c r="K276"/>
      <c r="L276"/>
      <c r="M276" s="18" t="s">
        <v>183</v>
      </c>
      <c r="N276" t="s">
        <v>1146</v>
      </c>
      <c r="O276" t="s">
        <v>23</v>
      </c>
      <c r="P276" s="1" t="s">
        <v>573</v>
      </c>
      <c r="Q276" s="13" t="s">
        <v>25</v>
      </c>
      <c r="R276">
        <v>1</v>
      </c>
      <c r="S276">
        <v>5000</v>
      </c>
      <c r="T276"/>
      <c r="U276" s="9" t="s">
        <v>277</v>
      </c>
      <c r="V276" s="9" t="s">
        <v>1354</v>
      </c>
      <c r="W276" s="9" t="s">
        <v>94</v>
      </c>
      <c r="X276" s="9"/>
    </row>
    <row r="277" spans="1:24">
      <c r="A277" s="13"/>
      <c r="B277" s="1"/>
      <c r="C277" s="1"/>
      <c r="D277" s="3" t="str">
        <f>SUBTOTAL(9,D269:D276)</f>
        <v>0</v>
      </c>
      <c r="E277"/>
      <c r="F277"/>
      <c r="G277"/>
      <c r="H277"/>
      <c r="I277"/>
      <c r="J277"/>
      <c r="K277"/>
      <c r="L277"/>
      <c r="M277" s="18" t="s">
        <v>184</v>
      </c>
      <c r="N277" t="s">
        <v>1438</v>
      </c>
      <c r="O277" t="s">
        <v>23</v>
      </c>
      <c r="P277" s="1"/>
      <c r="Q277" s="13"/>
      <c r="R277"/>
      <c r="S277"/>
      <c r="T277"/>
      <c r="U277" s="9" t="s">
        <v>1108</v>
      </c>
      <c r="V277" s="9" t="s">
        <v>1355</v>
      </c>
      <c r="W277" s="9"/>
      <c r="X277" s="9"/>
    </row>
    <row r="278" spans="1:24">
      <c r="A278" s="13" t="s">
        <v>19</v>
      </c>
      <c r="B278" s="1"/>
      <c r="C278" s="1" t="s">
        <v>26</v>
      </c>
      <c r="D278" s="3">
        <v>37000</v>
      </c>
      <c r="E278"/>
      <c r="F278"/>
      <c r="G278"/>
      <c r="H278"/>
      <c r="I278"/>
      <c r="J278"/>
      <c r="K278"/>
      <c r="L278"/>
      <c r="M278" s="18" t="s">
        <v>185</v>
      </c>
      <c r="N278" t="s">
        <v>1215</v>
      </c>
      <c r="O278" t="s">
        <v>96</v>
      </c>
      <c r="P278" s="1" t="s">
        <v>574</v>
      </c>
      <c r="Q278" s="13" t="s">
        <v>25</v>
      </c>
      <c r="R278">
        <v>1</v>
      </c>
      <c r="S278">
        <v>37000</v>
      </c>
      <c r="T278"/>
      <c r="U278" s="9" t="s">
        <v>411</v>
      </c>
      <c r="V278" s="9" t="s">
        <v>1356</v>
      </c>
      <c r="W278" s="9" t="s">
        <v>1395</v>
      </c>
      <c r="X278" s="9"/>
    </row>
    <row r="279" spans="1:24">
      <c r="A279" s="13" t="s">
        <v>19</v>
      </c>
      <c r="B279" s="1"/>
      <c r="C279" s="1" t="s">
        <v>26</v>
      </c>
      <c r="D279" s="3">
        <v>37000</v>
      </c>
      <c r="E279"/>
      <c r="F279"/>
      <c r="G279"/>
      <c r="H279"/>
      <c r="I279"/>
      <c r="J279"/>
      <c r="K279"/>
      <c r="L279"/>
      <c r="M279" s="18" t="s">
        <v>185</v>
      </c>
      <c r="N279" t="s">
        <v>1215</v>
      </c>
      <c r="O279" t="s">
        <v>96</v>
      </c>
      <c r="P279" s="1" t="s">
        <v>513</v>
      </c>
      <c r="Q279" s="13" t="s">
        <v>25</v>
      </c>
      <c r="R279">
        <v>1</v>
      </c>
      <c r="S279">
        <v>37000</v>
      </c>
      <c r="T279"/>
      <c r="U279" s="9" t="s">
        <v>137</v>
      </c>
      <c r="V279" s="9" t="s">
        <v>1357</v>
      </c>
      <c r="W279" s="9" t="s">
        <v>1395</v>
      </c>
      <c r="X279" s="9"/>
    </row>
    <row r="280" spans="1:24">
      <c r="A280" s="13" t="s">
        <v>19</v>
      </c>
      <c r="B280" s="1"/>
      <c r="C280" s="1" t="s">
        <v>32</v>
      </c>
      <c r="D280" s="3">
        <v>5000</v>
      </c>
      <c r="E280"/>
      <c r="F280"/>
      <c r="G280"/>
      <c r="H280"/>
      <c r="I280"/>
      <c r="J280"/>
      <c r="K280"/>
      <c r="L280"/>
      <c r="M280" s="18" t="s">
        <v>185</v>
      </c>
      <c r="N280" t="s">
        <v>1215</v>
      </c>
      <c r="O280" t="s">
        <v>96</v>
      </c>
      <c r="P280" s="1" t="s">
        <v>575</v>
      </c>
      <c r="Q280" s="13" t="s">
        <v>25</v>
      </c>
      <c r="R280">
        <v>1</v>
      </c>
      <c r="S280">
        <v>5000</v>
      </c>
      <c r="T280"/>
      <c r="U280" s="9" t="s">
        <v>331</v>
      </c>
      <c r="V280" s="9" t="s">
        <v>1358</v>
      </c>
      <c r="W280" s="9" t="s">
        <v>94</v>
      </c>
      <c r="X280" s="9"/>
    </row>
    <row r="281" spans="1:24">
      <c r="A281" s="13" t="s">
        <v>19</v>
      </c>
      <c r="B281" s="1"/>
      <c r="C281" s="1" t="s">
        <v>32</v>
      </c>
      <c r="D281" s="3">
        <v>5000</v>
      </c>
      <c r="E281"/>
      <c r="F281"/>
      <c r="G281"/>
      <c r="H281"/>
      <c r="I281"/>
      <c r="J281"/>
      <c r="K281"/>
      <c r="L281"/>
      <c r="M281" s="18" t="s">
        <v>185</v>
      </c>
      <c r="N281" t="s">
        <v>1215</v>
      </c>
      <c r="O281" t="s">
        <v>96</v>
      </c>
      <c r="P281" s="1" t="s">
        <v>516</v>
      </c>
      <c r="Q281" s="13" t="s">
        <v>25</v>
      </c>
      <c r="R281">
        <v>1</v>
      </c>
      <c r="S281">
        <v>5000</v>
      </c>
      <c r="T281"/>
      <c r="U281" s="9" t="s">
        <v>339</v>
      </c>
      <c r="V281" s="9" t="s">
        <v>1359</v>
      </c>
      <c r="W281" s="9" t="s">
        <v>1395</v>
      </c>
      <c r="X281" s="9"/>
    </row>
    <row r="282" spans="1:24">
      <c r="A282" s="13"/>
      <c r="B282" s="1"/>
      <c r="C282" s="1"/>
      <c r="D282" s="3" t="str">
        <f>SUBTOTAL(9,D278:D281)</f>
        <v>0</v>
      </c>
      <c r="E282"/>
      <c r="F282"/>
      <c r="G282"/>
      <c r="H282"/>
      <c r="I282"/>
      <c r="J282"/>
      <c r="K282"/>
      <c r="L282"/>
      <c r="M282" s="18" t="s">
        <v>186</v>
      </c>
      <c r="N282" t="s">
        <v>1439</v>
      </c>
      <c r="O282" t="s">
        <v>96</v>
      </c>
      <c r="P282" s="1"/>
      <c r="Q282" s="13"/>
      <c r="R282"/>
      <c r="S282"/>
      <c r="T282"/>
      <c r="U282" s="9" t="s">
        <v>225</v>
      </c>
      <c r="V282" s="9" t="s">
        <v>1360</v>
      </c>
      <c r="W282" s="9" t="s">
        <v>97</v>
      </c>
      <c r="X282" s="9"/>
    </row>
    <row r="283" spans="1:24">
      <c r="A283" s="13" t="s">
        <v>19</v>
      </c>
      <c r="B283" s="1"/>
      <c r="C283" s="1" t="s">
        <v>20</v>
      </c>
      <c r="D283" s="3">
        <v>160000</v>
      </c>
      <c r="E283"/>
      <c r="F283"/>
      <c r="G283"/>
      <c r="H283"/>
      <c r="I283"/>
      <c r="J283"/>
      <c r="K283"/>
      <c r="L283"/>
      <c r="M283" s="18" t="s">
        <v>187</v>
      </c>
      <c r="N283" t="s">
        <v>1342</v>
      </c>
      <c r="O283" t="s">
        <v>1395</v>
      </c>
      <c r="P283" s="1" t="s">
        <v>24</v>
      </c>
      <c r="Q283" s="13" t="s">
        <v>25</v>
      </c>
      <c r="R283">
        <v>5</v>
      </c>
      <c r="S283">
        <v>32000</v>
      </c>
      <c r="T283"/>
      <c r="U283" s="9" t="s">
        <v>429</v>
      </c>
      <c r="V283" s="9" t="s">
        <v>1361</v>
      </c>
      <c r="W283" s="9" t="s">
        <v>1395</v>
      </c>
      <c r="X283" s="9"/>
    </row>
    <row r="284" spans="1:24">
      <c r="A284" s="13" t="s">
        <v>19</v>
      </c>
      <c r="B284" s="1"/>
      <c r="C284" s="1" t="s">
        <v>20</v>
      </c>
      <c r="D284" s="3">
        <v>32000</v>
      </c>
      <c r="E284"/>
      <c r="F284"/>
      <c r="G284"/>
      <c r="H284"/>
      <c r="I284"/>
      <c r="J284"/>
      <c r="K284"/>
      <c r="L284"/>
      <c r="M284" s="18" t="s">
        <v>187</v>
      </c>
      <c r="N284" t="s">
        <v>1342</v>
      </c>
      <c r="O284" t="s">
        <v>1395</v>
      </c>
      <c r="P284" s="1" t="s">
        <v>24</v>
      </c>
      <c r="Q284" s="13" t="s">
        <v>25</v>
      </c>
      <c r="R284">
        <v>1</v>
      </c>
      <c r="S284">
        <v>32000</v>
      </c>
      <c r="T284"/>
      <c r="U284" s="9" t="s">
        <v>333</v>
      </c>
      <c r="V284" s="9" t="s">
        <v>1362</v>
      </c>
      <c r="W284" s="9" t="s">
        <v>94</v>
      </c>
      <c r="X284" s="9"/>
    </row>
    <row r="285" spans="1:24">
      <c r="A285" s="13" t="s">
        <v>19</v>
      </c>
      <c r="B285" s="1"/>
      <c r="C285" s="1" t="s">
        <v>26</v>
      </c>
      <c r="D285" s="3">
        <v>37000</v>
      </c>
      <c r="E285"/>
      <c r="F285"/>
      <c r="G285"/>
      <c r="H285"/>
      <c r="I285"/>
      <c r="J285"/>
      <c r="K285"/>
      <c r="L285"/>
      <c r="M285" s="18" t="s">
        <v>187</v>
      </c>
      <c r="N285" t="s">
        <v>1342</v>
      </c>
      <c r="O285" t="s">
        <v>1395</v>
      </c>
      <c r="P285" s="1" t="s">
        <v>576</v>
      </c>
      <c r="Q285" s="13" t="s">
        <v>25</v>
      </c>
      <c r="R285">
        <v>1</v>
      </c>
      <c r="S285">
        <v>37000</v>
      </c>
      <c r="T285"/>
      <c r="U285" s="9" t="s">
        <v>357</v>
      </c>
      <c r="V285" s="9" t="s">
        <v>1363</v>
      </c>
      <c r="W285" s="9" t="s">
        <v>1395</v>
      </c>
      <c r="X285" s="9"/>
    </row>
    <row r="286" spans="1:24">
      <c r="A286" s="13" t="s">
        <v>19</v>
      </c>
      <c r="B286" s="1"/>
      <c r="C286" s="1" t="s">
        <v>29</v>
      </c>
      <c r="D286" s="3">
        <v>25000</v>
      </c>
      <c r="E286"/>
      <c r="F286"/>
      <c r="G286"/>
      <c r="H286"/>
      <c r="I286"/>
      <c r="J286"/>
      <c r="K286"/>
      <c r="L286"/>
      <c r="M286" s="18" t="s">
        <v>187</v>
      </c>
      <c r="N286" t="s">
        <v>1342</v>
      </c>
      <c r="O286" t="s">
        <v>1395</v>
      </c>
      <c r="P286" s="1" t="s">
        <v>30</v>
      </c>
      <c r="Q286" s="13" t="s">
        <v>25</v>
      </c>
      <c r="R286">
        <v>5</v>
      </c>
      <c r="S286">
        <v>5000</v>
      </c>
      <c r="T286"/>
      <c r="U286" s="9" t="s">
        <v>431</v>
      </c>
      <c r="V286" s="9" t="s">
        <v>1364</v>
      </c>
      <c r="W286" s="9" t="s">
        <v>1395</v>
      </c>
      <c r="X286" s="9"/>
    </row>
    <row r="287" spans="1:24">
      <c r="A287" s="13" t="s">
        <v>19</v>
      </c>
      <c r="B287" s="1"/>
      <c r="C287" s="1" t="s">
        <v>29</v>
      </c>
      <c r="D287" s="3">
        <v>5000</v>
      </c>
      <c r="E287"/>
      <c r="F287"/>
      <c r="G287"/>
      <c r="H287"/>
      <c r="I287"/>
      <c r="J287"/>
      <c r="K287"/>
      <c r="L287"/>
      <c r="M287" s="18" t="s">
        <v>187</v>
      </c>
      <c r="N287" t="s">
        <v>1342</v>
      </c>
      <c r="O287" t="s">
        <v>1395</v>
      </c>
      <c r="P287" s="1" t="s">
        <v>30</v>
      </c>
      <c r="Q287" s="13" t="s">
        <v>25</v>
      </c>
      <c r="R287">
        <v>1</v>
      </c>
      <c r="S287">
        <v>5000</v>
      </c>
      <c r="T287"/>
      <c r="U287" s="9" t="s">
        <v>1109</v>
      </c>
      <c r="V287" s="9" t="s">
        <v>1365</v>
      </c>
      <c r="W287" s="9"/>
      <c r="X287" s="9"/>
    </row>
    <row r="288" spans="1:24">
      <c r="A288" s="13" t="s">
        <v>19</v>
      </c>
      <c r="B288" s="1"/>
      <c r="C288" s="1" t="s">
        <v>32</v>
      </c>
      <c r="D288" s="3">
        <v>5000</v>
      </c>
      <c r="E288"/>
      <c r="F288"/>
      <c r="G288"/>
      <c r="H288"/>
      <c r="I288"/>
      <c r="J288"/>
      <c r="K288"/>
      <c r="L288"/>
      <c r="M288" s="18" t="s">
        <v>187</v>
      </c>
      <c r="N288" t="s">
        <v>1342</v>
      </c>
      <c r="O288" t="s">
        <v>1395</v>
      </c>
      <c r="P288" s="1" t="s">
        <v>577</v>
      </c>
      <c r="Q288" s="13" t="s">
        <v>25</v>
      </c>
      <c r="R288">
        <v>1</v>
      </c>
      <c r="S288">
        <v>5000</v>
      </c>
      <c r="T288"/>
      <c r="U288" s="9" t="s">
        <v>1110</v>
      </c>
      <c r="V288" s="9" t="s">
        <v>1366</v>
      </c>
      <c r="W288" s="9"/>
      <c r="X288" s="9"/>
    </row>
    <row r="289" spans="1:24">
      <c r="A289" s="13"/>
      <c r="B289" s="1"/>
      <c r="C289" s="1"/>
      <c r="D289" s="3" t="str">
        <f>SUBTOTAL(9,D283:D288)</f>
        <v>0</v>
      </c>
      <c r="E289"/>
      <c r="F289"/>
      <c r="G289"/>
      <c r="H289"/>
      <c r="I289"/>
      <c r="J289"/>
      <c r="K289"/>
      <c r="L289"/>
      <c r="M289" s="18" t="s">
        <v>188</v>
      </c>
      <c r="N289" t="s">
        <v>1440</v>
      </c>
      <c r="O289" t="s">
        <v>1395</v>
      </c>
      <c r="P289" s="1"/>
      <c r="Q289" s="13"/>
      <c r="R289"/>
      <c r="S289"/>
      <c r="T289"/>
      <c r="U289" s="9" t="s">
        <v>205</v>
      </c>
      <c r="V289" s="9" t="s">
        <v>1367</v>
      </c>
      <c r="W289" s="9" t="s">
        <v>1395</v>
      </c>
      <c r="X289" s="9"/>
    </row>
    <row r="290" spans="1:24">
      <c r="A290" s="13" t="s">
        <v>19</v>
      </c>
      <c r="B290" s="1"/>
      <c r="C290" s="1" t="s">
        <v>26</v>
      </c>
      <c r="D290" s="3">
        <v>32000</v>
      </c>
      <c r="E290"/>
      <c r="F290"/>
      <c r="G290"/>
      <c r="H290"/>
      <c r="I290"/>
      <c r="J290"/>
      <c r="K290"/>
      <c r="L290"/>
      <c r="M290" s="18" t="s">
        <v>189</v>
      </c>
      <c r="N290" t="s">
        <v>1326</v>
      </c>
      <c r="O290" t="s">
        <v>23</v>
      </c>
      <c r="P290" s="1" t="s">
        <v>512</v>
      </c>
      <c r="Q290" s="13" t="s">
        <v>25</v>
      </c>
      <c r="R290">
        <v>1</v>
      </c>
      <c r="S290">
        <v>32000</v>
      </c>
      <c r="T290"/>
      <c r="U290" s="9" t="s">
        <v>1111</v>
      </c>
      <c r="V290" s="9" t="s">
        <v>1368</v>
      </c>
      <c r="W290" s="9" t="s">
        <v>1395</v>
      </c>
      <c r="X290" s="9"/>
    </row>
    <row r="291" spans="1:24">
      <c r="A291" s="13" t="s">
        <v>19</v>
      </c>
      <c r="B291" s="1"/>
      <c r="C291" s="1" t="s">
        <v>26</v>
      </c>
      <c r="D291" s="3">
        <v>64000</v>
      </c>
      <c r="E291"/>
      <c r="F291"/>
      <c r="G291"/>
      <c r="H291"/>
      <c r="I291"/>
      <c r="J291"/>
      <c r="K291"/>
      <c r="L291"/>
      <c r="M291" s="18" t="s">
        <v>189</v>
      </c>
      <c r="N291" t="s">
        <v>1326</v>
      </c>
      <c r="O291" t="s">
        <v>23</v>
      </c>
      <c r="P291" s="1" t="s">
        <v>512</v>
      </c>
      <c r="Q291" s="13" t="s">
        <v>25</v>
      </c>
      <c r="R291">
        <v>2</v>
      </c>
      <c r="S291">
        <v>32000</v>
      </c>
      <c r="T291"/>
      <c r="U291" s="9" t="s">
        <v>1112</v>
      </c>
      <c r="V291" s="9" t="s">
        <v>1369</v>
      </c>
      <c r="W291" s="9" t="s">
        <v>1395</v>
      </c>
      <c r="X291" s="9"/>
    </row>
    <row r="292" spans="1:24">
      <c r="A292" s="13" t="s">
        <v>19</v>
      </c>
      <c r="B292" s="1"/>
      <c r="C292" s="1" t="s">
        <v>26</v>
      </c>
      <c r="D292" s="3">
        <v>37000</v>
      </c>
      <c r="E292"/>
      <c r="F292"/>
      <c r="G292"/>
      <c r="H292"/>
      <c r="I292"/>
      <c r="J292"/>
      <c r="K292"/>
      <c r="L292"/>
      <c r="M292" s="18" t="s">
        <v>189</v>
      </c>
      <c r="N292" t="s">
        <v>1326</v>
      </c>
      <c r="O292" t="s">
        <v>23</v>
      </c>
      <c r="P292" s="1" t="s">
        <v>27</v>
      </c>
      <c r="Q292" s="13" t="s">
        <v>25</v>
      </c>
      <c r="R292">
        <v>1</v>
      </c>
      <c r="S292">
        <v>37000</v>
      </c>
      <c r="T292"/>
      <c r="U292" s="9" t="s">
        <v>1113</v>
      </c>
      <c r="V292" s="9" t="s">
        <v>1370</v>
      </c>
      <c r="W292" s="9" t="s">
        <v>1395</v>
      </c>
      <c r="X292" s="9"/>
    </row>
    <row r="293" spans="1:24">
      <c r="A293" s="13" t="s">
        <v>19</v>
      </c>
      <c r="B293" s="1"/>
      <c r="C293" s="1" t="s">
        <v>32</v>
      </c>
      <c r="D293" s="3">
        <v>5000</v>
      </c>
      <c r="E293"/>
      <c r="F293"/>
      <c r="G293"/>
      <c r="H293"/>
      <c r="I293"/>
      <c r="J293"/>
      <c r="K293"/>
      <c r="L293"/>
      <c r="M293" s="18" t="s">
        <v>189</v>
      </c>
      <c r="N293" t="s">
        <v>1326</v>
      </c>
      <c r="O293" t="s">
        <v>23</v>
      </c>
      <c r="P293" s="1" t="s">
        <v>515</v>
      </c>
      <c r="Q293" s="13" t="s">
        <v>25</v>
      </c>
      <c r="R293">
        <v>1</v>
      </c>
      <c r="S293">
        <v>5000</v>
      </c>
      <c r="T293"/>
      <c r="U293" s="9" t="s">
        <v>1114</v>
      </c>
      <c r="V293" s="9" t="s">
        <v>1371</v>
      </c>
      <c r="W293" s="9" t="s">
        <v>1395</v>
      </c>
      <c r="X293" s="9"/>
    </row>
    <row r="294" spans="1:24">
      <c r="A294" s="13" t="s">
        <v>19</v>
      </c>
      <c r="B294" s="1"/>
      <c r="C294" s="1" t="s">
        <v>32</v>
      </c>
      <c r="D294" s="3">
        <v>10000</v>
      </c>
      <c r="E294"/>
      <c r="F294"/>
      <c r="G294"/>
      <c r="H294"/>
      <c r="I294"/>
      <c r="J294"/>
      <c r="K294"/>
      <c r="L294"/>
      <c r="M294" s="18" t="s">
        <v>189</v>
      </c>
      <c r="N294" t="s">
        <v>1326</v>
      </c>
      <c r="O294" t="s">
        <v>23</v>
      </c>
      <c r="P294" s="1" t="s">
        <v>515</v>
      </c>
      <c r="Q294" s="13" t="s">
        <v>25</v>
      </c>
      <c r="R294">
        <v>2</v>
      </c>
      <c r="S294">
        <v>5000</v>
      </c>
      <c r="T294"/>
      <c r="U294" s="9" t="s">
        <v>335</v>
      </c>
      <c r="V294" s="9" t="s">
        <v>1372</v>
      </c>
      <c r="W294" s="9" t="s">
        <v>1395</v>
      </c>
      <c r="X294" s="9"/>
    </row>
    <row r="295" spans="1:24">
      <c r="A295" s="13" t="s">
        <v>19</v>
      </c>
      <c r="B295" s="1"/>
      <c r="C295" s="1" t="s">
        <v>32</v>
      </c>
      <c r="D295" s="3">
        <v>5000</v>
      </c>
      <c r="E295"/>
      <c r="F295"/>
      <c r="G295"/>
      <c r="H295"/>
      <c r="I295"/>
      <c r="J295"/>
      <c r="K295"/>
      <c r="L295"/>
      <c r="M295" s="18" t="s">
        <v>189</v>
      </c>
      <c r="N295" t="s">
        <v>1326</v>
      </c>
      <c r="O295" t="s">
        <v>23</v>
      </c>
      <c r="P295" s="1" t="s">
        <v>33</v>
      </c>
      <c r="Q295" s="13" t="s">
        <v>25</v>
      </c>
      <c r="R295">
        <v>1</v>
      </c>
      <c r="S295">
        <v>5000</v>
      </c>
      <c r="T295"/>
      <c r="U295" s="9" t="s">
        <v>1115</v>
      </c>
      <c r="V295" s="9" t="s">
        <v>1373</v>
      </c>
      <c r="W295" s="9" t="s">
        <v>1395</v>
      </c>
      <c r="X295" s="9"/>
    </row>
    <row r="296" spans="1:24">
      <c r="A296" s="13"/>
      <c r="B296" s="1"/>
      <c r="C296" s="1"/>
      <c r="D296" s="3" t="str">
        <f>SUBTOTAL(9,D290:D295)</f>
        <v>0</v>
      </c>
      <c r="E296"/>
      <c r="F296"/>
      <c r="G296"/>
      <c r="H296"/>
      <c r="I296"/>
      <c r="J296"/>
      <c r="K296"/>
      <c r="L296"/>
      <c r="M296" s="18" t="s">
        <v>190</v>
      </c>
      <c r="N296" t="s">
        <v>1441</v>
      </c>
      <c r="O296" t="s">
        <v>23</v>
      </c>
      <c r="P296" s="1"/>
      <c r="Q296" s="13"/>
      <c r="R296"/>
      <c r="S296"/>
      <c r="T296"/>
      <c r="U296" s="9" t="s">
        <v>1116</v>
      </c>
      <c r="V296" s="9" t="s">
        <v>1374</v>
      </c>
      <c r="W296" s="9" t="s">
        <v>1395</v>
      </c>
      <c r="X296" s="9"/>
    </row>
    <row r="297" spans="1:24">
      <c r="A297" s="13" t="s">
        <v>19</v>
      </c>
      <c r="B297" s="1"/>
      <c r="C297" s="1" t="s">
        <v>26</v>
      </c>
      <c r="D297" s="3">
        <v>32000</v>
      </c>
      <c r="E297"/>
      <c r="F297"/>
      <c r="G297"/>
      <c r="H297"/>
      <c r="I297"/>
      <c r="J297"/>
      <c r="K297"/>
      <c r="L297"/>
      <c r="M297" s="18" t="s">
        <v>191</v>
      </c>
      <c r="N297" t="s">
        <v>1341</v>
      </c>
      <c r="O297" t="s">
        <v>96</v>
      </c>
      <c r="P297" s="1" t="s">
        <v>574</v>
      </c>
      <c r="Q297" s="13" t="s">
        <v>25</v>
      </c>
      <c r="R297">
        <v>1</v>
      </c>
      <c r="S297">
        <v>32000</v>
      </c>
      <c r="T297"/>
      <c r="U297" s="9" t="s">
        <v>1117</v>
      </c>
      <c r="V297" s="9" t="s">
        <v>1375</v>
      </c>
      <c r="W297" s="9" t="s">
        <v>1395</v>
      </c>
      <c r="X297" s="9"/>
    </row>
    <row r="298" spans="1:24">
      <c r="A298" s="13" t="s">
        <v>19</v>
      </c>
      <c r="B298" s="1"/>
      <c r="C298" s="1" t="s">
        <v>26</v>
      </c>
      <c r="D298" s="3">
        <v>32000</v>
      </c>
      <c r="E298"/>
      <c r="F298"/>
      <c r="G298"/>
      <c r="H298"/>
      <c r="I298"/>
      <c r="J298"/>
      <c r="K298"/>
      <c r="L298"/>
      <c r="M298" s="18" t="s">
        <v>191</v>
      </c>
      <c r="N298" t="s">
        <v>1341</v>
      </c>
      <c r="O298" t="s">
        <v>96</v>
      </c>
      <c r="P298" s="1" t="s">
        <v>578</v>
      </c>
      <c r="Q298" s="13" t="s">
        <v>25</v>
      </c>
      <c r="R298">
        <v>1</v>
      </c>
      <c r="S298">
        <v>32000</v>
      </c>
      <c r="T298"/>
      <c r="U298" s="9" t="s">
        <v>1118</v>
      </c>
      <c r="V298" s="9" t="s">
        <v>1376</v>
      </c>
      <c r="W298" s="9"/>
      <c r="X298" s="9"/>
    </row>
    <row r="299" spans="1:24">
      <c r="A299" s="13" t="s">
        <v>19</v>
      </c>
      <c r="B299" s="1"/>
      <c r="C299" s="1" t="s">
        <v>32</v>
      </c>
      <c r="D299" s="3">
        <v>5000</v>
      </c>
      <c r="E299"/>
      <c r="F299"/>
      <c r="G299"/>
      <c r="H299"/>
      <c r="I299"/>
      <c r="J299"/>
      <c r="K299"/>
      <c r="L299"/>
      <c r="M299" s="18" t="s">
        <v>191</v>
      </c>
      <c r="N299" t="s">
        <v>1341</v>
      </c>
      <c r="O299" t="s">
        <v>96</v>
      </c>
      <c r="P299" s="1" t="s">
        <v>575</v>
      </c>
      <c r="Q299" s="13" t="s">
        <v>25</v>
      </c>
      <c r="R299">
        <v>1</v>
      </c>
      <c r="S299">
        <v>5000</v>
      </c>
      <c r="T299"/>
      <c r="U299" s="9" t="s">
        <v>405</v>
      </c>
      <c r="V299" s="9" t="s">
        <v>1377</v>
      </c>
      <c r="W299" s="9" t="s">
        <v>1395</v>
      </c>
      <c r="X299" s="9"/>
    </row>
    <row r="300" spans="1:24">
      <c r="A300" s="13" t="s">
        <v>19</v>
      </c>
      <c r="B300" s="1"/>
      <c r="C300" s="1" t="s">
        <v>32</v>
      </c>
      <c r="D300" s="3">
        <v>5000</v>
      </c>
      <c r="E300"/>
      <c r="F300"/>
      <c r="G300"/>
      <c r="H300"/>
      <c r="I300"/>
      <c r="J300"/>
      <c r="K300"/>
      <c r="L300"/>
      <c r="M300" s="18" t="s">
        <v>191</v>
      </c>
      <c r="N300" t="s">
        <v>1341</v>
      </c>
      <c r="O300" t="s">
        <v>96</v>
      </c>
      <c r="P300" s="1" t="s">
        <v>579</v>
      </c>
      <c r="Q300" s="13" t="s">
        <v>25</v>
      </c>
      <c r="R300">
        <v>1</v>
      </c>
      <c r="S300">
        <v>5000</v>
      </c>
      <c r="T300"/>
      <c r="U300" s="9" t="s">
        <v>365</v>
      </c>
      <c r="V300" s="9" t="s">
        <v>1378</v>
      </c>
      <c r="W300" s="9" t="s">
        <v>1395</v>
      </c>
      <c r="X300" s="9"/>
    </row>
    <row r="301" spans="1:24">
      <c r="A301" s="13"/>
      <c r="B301" s="1"/>
      <c r="C301" s="1"/>
      <c r="D301" s="3" t="str">
        <f>SUBTOTAL(9,D297:D300)</f>
        <v>0</v>
      </c>
      <c r="E301"/>
      <c r="F301"/>
      <c r="G301"/>
      <c r="H301"/>
      <c r="I301"/>
      <c r="J301"/>
      <c r="K301"/>
      <c r="L301"/>
      <c r="M301" s="18" t="s">
        <v>192</v>
      </c>
      <c r="N301" t="s">
        <v>1442</v>
      </c>
      <c r="O301" t="s">
        <v>96</v>
      </c>
      <c r="P301" s="1"/>
      <c r="Q301" s="13"/>
      <c r="R301"/>
      <c r="S301"/>
      <c r="T301"/>
      <c r="U301" s="9" t="s">
        <v>1119</v>
      </c>
      <c r="V301" s="9" t="s">
        <v>1379</v>
      </c>
      <c r="W301" s="9" t="s">
        <v>1395</v>
      </c>
      <c r="X301" s="9"/>
    </row>
    <row r="302" spans="1:24">
      <c r="A302" s="13" t="s">
        <v>19</v>
      </c>
      <c r="B302" s="1"/>
      <c r="C302" s="1" t="s">
        <v>20</v>
      </c>
      <c r="D302" s="3">
        <v>64000</v>
      </c>
      <c r="E302"/>
      <c r="F302"/>
      <c r="G302"/>
      <c r="H302"/>
      <c r="I302"/>
      <c r="J302"/>
      <c r="K302"/>
      <c r="L302"/>
      <c r="M302" s="18" t="s">
        <v>193</v>
      </c>
      <c r="N302" t="s">
        <v>1238</v>
      </c>
      <c r="O302"/>
      <c r="P302" s="1" t="s">
        <v>24</v>
      </c>
      <c r="Q302" s="13" t="s">
        <v>25</v>
      </c>
      <c r="R302">
        <v>2</v>
      </c>
      <c r="S302">
        <v>32000</v>
      </c>
      <c r="T302"/>
      <c r="U302" s="9" t="s">
        <v>1119</v>
      </c>
      <c r="V302" s="9" t="s">
        <v>1379</v>
      </c>
      <c r="W302" s="9"/>
      <c r="X302" s="9"/>
    </row>
    <row r="303" spans="1:24">
      <c r="A303" s="13" t="s">
        <v>19</v>
      </c>
      <c r="B303" s="1"/>
      <c r="C303" s="1" t="s">
        <v>20</v>
      </c>
      <c r="D303" s="3">
        <v>32000</v>
      </c>
      <c r="E303"/>
      <c r="F303"/>
      <c r="G303"/>
      <c r="H303"/>
      <c r="I303"/>
      <c r="J303"/>
      <c r="K303"/>
      <c r="L303"/>
      <c r="M303" s="18" t="s">
        <v>193</v>
      </c>
      <c r="N303" t="s">
        <v>1238</v>
      </c>
      <c r="O303"/>
      <c r="P303" s="1" t="s">
        <v>24</v>
      </c>
      <c r="Q303" s="13" t="s">
        <v>25</v>
      </c>
      <c r="R303">
        <v>1</v>
      </c>
      <c r="S303">
        <v>32000</v>
      </c>
      <c r="T303"/>
      <c r="U303" s="9" t="s">
        <v>1120</v>
      </c>
      <c r="V303" s="9" t="s">
        <v>1380</v>
      </c>
      <c r="W303" s="9"/>
      <c r="X303" s="9"/>
    </row>
    <row r="304" spans="1:24">
      <c r="A304" s="13" t="s">
        <v>19</v>
      </c>
      <c r="B304" s="1"/>
      <c r="C304" s="1" t="s">
        <v>20</v>
      </c>
      <c r="D304" s="3">
        <v>32000</v>
      </c>
      <c r="E304"/>
      <c r="F304"/>
      <c r="G304"/>
      <c r="H304"/>
      <c r="I304"/>
      <c r="J304"/>
      <c r="K304"/>
      <c r="L304"/>
      <c r="M304" s="18" t="s">
        <v>193</v>
      </c>
      <c r="N304" t="s">
        <v>1238</v>
      </c>
      <c r="O304"/>
      <c r="P304" s="1" t="s">
        <v>24</v>
      </c>
      <c r="Q304" s="13" t="s">
        <v>25</v>
      </c>
      <c r="R304">
        <v>1</v>
      </c>
      <c r="S304">
        <v>32000</v>
      </c>
      <c r="T304"/>
      <c r="U304" s="9" t="s">
        <v>1121</v>
      </c>
      <c r="V304" s="9" t="s">
        <v>1381</v>
      </c>
      <c r="W304" s="9" t="s">
        <v>23</v>
      </c>
      <c r="X304" s="9"/>
    </row>
    <row r="305" spans="1:24">
      <c r="A305" s="13" t="s">
        <v>19</v>
      </c>
      <c r="B305" s="1"/>
      <c r="C305" s="1" t="s">
        <v>20</v>
      </c>
      <c r="D305" s="3">
        <v>96000</v>
      </c>
      <c r="E305"/>
      <c r="F305"/>
      <c r="G305"/>
      <c r="H305"/>
      <c r="I305"/>
      <c r="J305"/>
      <c r="K305"/>
      <c r="L305"/>
      <c r="M305" s="18" t="s">
        <v>193</v>
      </c>
      <c r="N305" t="s">
        <v>1238</v>
      </c>
      <c r="O305"/>
      <c r="P305" s="1" t="s">
        <v>24</v>
      </c>
      <c r="Q305" s="13" t="s">
        <v>25</v>
      </c>
      <c r="R305">
        <v>3</v>
      </c>
      <c r="S305">
        <v>32000</v>
      </c>
      <c r="T305"/>
      <c r="U305" s="9" t="s">
        <v>1121</v>
      </c>
      <c r="V305" s="9" t="s">
        <v>1381</v>
      </c>
      <c r="W305" s="9"/>
      <c r="X305" s="9"/>
    </row>
    <row r="306" spans="1:24">
      <c r="A306" s="13" t="s">
        <v>19</v>
      </c>
      <c r="B306" s="1"/>
      <c r="C306" s="1" t="s">
        <v>20</v>
      </c>
      <c r="D306" s="3">
        <v>64000</v>
      </c>
      <c r="E306"/>
      <c r="F306"/>
      <c r="G306"/>
      <c r="H306"/>
      <c r="I306"/>
      <c r="J306"/>
      <c r="K306"/>
      <c r="L306"/>
      <c r="M306" s="18" t="s">
        <v>193</v>
      </c>
      <c r="N306" t="s">
        <v>1238</v>
      </c>
      <c r="O306"/>
      <c r="P306" s="1" t="s">
        <v>24</v>
      </c>
      <c r="Q306" s="13" t="s">
        <v>25</v>
      </c>
      <c r="R306">
        <v>2</v>
      </c>
      <c r="S306">
        <v>32000</v>
      </c>
      <c r="T306"/>
      <c r="U306" s="9" t="s">
        <v>465</v>
      </c>
      <c r="V306" s="9" t="s">
        <v>1382</v>
      </c>
      <c r="W306" s="9" t="s">
        <v>1395</v>
      </c>
      <c r="X306" s="9"/>
    </row>
    <row r="307" spans="1:24">
      <c r="A307" s="13" t="s">
        <v>19</v>
      </c>
      <c r="B307" s="1"/>
      <c r="C307" s="1" t="s">
        <v>20</v>
      </c>
      <c r="D307" s="3">
        <v>64000</v>
      </c>
      <c r="E307"/>
      <c r="F307"/>
      <c r="G307"/>
      <c r="H307"/>
      <c r="I307"/>
      <c r="J307"/>
      <c r="K307"/>
      <c r="L307"/>
      <c r="M307" s="18" t="s">
        <v>193</v>
      </c>
      <c r="N307" t="s">
        <v>1238</v>
      </c>
      <c r="O307"/>
      <c r="P307" s="1" t="s">
        <v>24</v>
      </c>
      <c r="Q307" s="13" t="s">
        <v>25</v>
      </c>
      <c r="R307">
        <v>2</v>
      </c>
      <c r="S307">
        <v>32000</v>
      </c>
      <c r="T307"/>
      <c r="U307" s="9" t="s">
        <v>1122</v>
      </c>
      <c r="V307" s="9" t="s">
        <v>1383</v>
      </c>
      <c r="W307" s="9" t="s">
        <v>23</v>
      </c>
      <c r="X307" s="9"/>
    </row>
    <row r="308" spans="1:24">
      <c r="A308" s="13" t="s">
        <v>19</v>
      </c>
      <c r="B308" s="1"/>
      <c r="C308" s="1" t="s">
        <v>20</v>
      </c>
      <c r="D308" s="3">
        <v>96000</v>
      </c>
      <c r="E308"/>
      <c r="F308"/>
      <c r="G308"/>
      <c r="H308"/>
      <c r="I308"/>
      <c r="J308"/>
      <c r="K308"/>
      <c r="L308"/>
      <c r="M308" s="18" t="s">
        <v>193</v>
      </c>
      <c r="N308" t="s">
        <v>1238</v>
      </c>
      <c r="O308"/>
      <c r="P308" s="1" t="s">
        <v>24</v>
      </c>
      <c r="Q308" s="13" t="s">
        <v>25</v>
      </c>
      <c r="R308">
        <v>3</v>
      </c>
      <c r="S308">
        <v>32000</v>
      </c>
      <c r="T308"/>
      <c r="U308" s="9" t="s">
        <v>1123</v>
      </c>
      <c r="V308" s="9" t="s">
        <v>1384</v>
      </c>
      <c r="W308" s="9" t="s">
        <v>23</v>
      </c>
      <c r="X308" s="9"/>
    </row>
    <row r="309" spans="1:24">
      <c r="A309" s="13" t="s">
        <v>19</v>
      </c>
      <c r="B309" s="1"/>
      <c r="C309" s="1" t="s">
        <v>20</v>
      </c>
      <c r="D309" s="3">
        <v>64000</v>
      </c>
      <c r="E309"/>
      <c r="F309"/>
      <c r="G309"/>
      <c r="H309"/>
      <c r="I309"/>
      <c r="J309"/>
      <c r="K309"/>
      <c r="L309"/>
      <c r="M309" s="18" t="s">
        <v>193</v>
      </c>
      <c r="N309" t="s">
        <v>1238</v>
      </c>
      <c r="O309"/>
      <c r="P309" s="1" t="s">
        <v>24</v>
      </c>
      <c r="Q309" s="13" t="s">
        <v>25</v>
      </c>
      <c r="R309">
        <v>2</v>
      </c>
      <c r="S309">
        <v>32000</v>
      </c>
      <c r="T309"/>
      <c r="U309" s="9" t="s">
        <v>1124</v>
      </c>
      <c r="V309" s="9" t="s">
        <v>1385</v>
      </c>
      <c r="W309" s="9" t="s">
        <v>23</v>
      </c>
      <c r="X309" s="9"/>
    </row>
    <row r="310" spans="1:24">
      <c r="A310" s="13" t="s">
        <v>19</v>
      </c>
      <c r="B310" s="1"/>
      <c r="C310" s="1" t="s">
        <v>20</v>
      </c>
      <c r="D310" s="3">
        <v>64000</v>
      </c>
      <c r="E310"/>
      <c r="F310"/>
      <c r="G310"/>
      <c r="H310"/>
      <c r="I310"/>
      <c r="J310"/>
      <c r="K310"/>
      <c r="L310"/>
      <c r="M310" s="18" t="s">
        <v>193</v>
      </c>
      <c r="N310" t="s">
        <v>1238</v>
      </c>
      <c r="O310"/>
      <c r="P310" s="1" t="s">
        <v>24</v>
      </c>
      <c r="Q310" s="13" t="s">
        <v>25</v>
      </c>
      <c r="R310">
        <v>2</v>
      </c>
      <c r="S310">
        <v>32000</v>
      </c>
      <c r="T310"/>
      <c r="U310" s="9" t="s">
        <v>145</v>
      </c>
      <c r="V310" s="9" t="s">
        <v>1386</v>
      </c>
      <c r="W310" s="9" t="s">
        <v>1395</v>
      </c>
      <c r="X310" s="9"/>
    </row>
    <row r="311" spans="1:24">
      <c r="A311" s="13" t="s">
        <v>19</v>
      </c>
      <c r="B311" s="1"/>
      <c r="C311" s="1" t="s">
        <v>20</v>
      </c>
      <c r="D311" s="3">
        <v>32000</v>
      </c>
      <c r="E311"/>
      <c r="F311"/>
      <c r="G311"/>
      <c r="H311"/>
      <c r="I311"/>
      <c r="J311"/>
      <c r="K311"/>
      <c r="L311"/>
      <c r="M311" s="18" t="s">
        <v>193</v>
      </c>
      <c r="N311" t="s">
        <v>1238</v>
      </c>
      <c r="O311"/>
      <c r="P311" s="1" t="s">
        <v>24</v>
      </c>
      <c r="Q311" s="13" t="s">
        <v>25</v>
      </c>
      <c r="R311">
        <v>1</v>
      </c>
      <c r="S311">
        <v>32000</v>
      </c>
      <c r="T311"/>
      <c r="U311" s="9" t="s">
        <v>427</v>
      </c>
      <c r="V311" s="9" t="s">
        <v>1387</v>
      </c>
      <c r="W311" s="9"/>
      <c r="X311" s="9"/>
    </row>
    <row r="312" spans="1:24">
      <c r="A312" s="13" t="s">
        <v>19</v>
      </c>
      <c r="B312" s="1"/>
      <c r="C312" s="1" t="s">
        <v>29</v>
      </c>
      <c r="D312" s="3">
        <v>10000</v>
      </c>
      <c r="E312"/>
      <c r="F312"/>
      <c r="G312"/>
      <c r="H312"/>
      <c r="I312"/>
      <c r="J312"/>
      <c r="K312"/>
      <c r="L312"/>
      <c r="M312" s="18" t="s">
        <v>193</v>
      </c>
      <c r="N312" t="s">
        <v>1238</v>
      </c>
      <c r="O312"/>
      <c r="P312" s="1" t="s">
        <v>30</v>
      </c>
      <c r="Q312" s="13" t="s">
        <v>25</v>
      </c>
      <c r="R312">
        <v>2</v>
      </c>
      <c r="S312">
        <v>5000</v>
      </c>
      <c r="T312"/>
      <c r="U312" s="9" t="s">
        <v>133</v>
      </c>
      <c r="V312" s="9" t="s">
        <v>1388</v>
      </c>
      <c r="W312" s="9" t="s">
        <v>93</v>
      </c>
      <c r="X312" s="9"/>
    </row>
    <row r="313" spans="1:24">
      <c r="A313" s="13" t="s">
        <v>19</v>
      </c>
      <c r="B313" s="1"/>
      <c r="C313" s="1" t="s">
        <v>29</v>
      </c>
      <c r="D313" s="3">
        <v>5000</v>
      </c>
      <c r="E313"/>
      <c r="F313"/>
      <c r="G313"/>
      <c r="H313"/>
      <c r="I313"/>
      <c r="J313"/>
      <c r="K313"/>
      <c r="L313"/>
      <c r="M313" s="18" t="s">
        <v>193</v>
      </c>
      <c r="N313" t="s">
        <v>1238</v>
      </c>
      <c r="O313"/>
      <c r="P313" s="1" t="s">
        <v>30</v>
      </c>
      <c r="Q313" s="13" t="s">
        <v>25</v>
      </c>
      <c r="R313">
        <v>1</v>
      </c>
      <c r="S313">
        <v>5000</v>
      </c>
      <c r="T313"/>
      <c r="U313" s="9" t="s">
        <v>463</v>
      </c>
      <c r="V313" s="9" t="s">
        <v>1389</v>
      </c>
      <c r="W313" s="9" t="s">
        <v>1395</v>
      </c>
      <c r="X313" s="9"/>
    </row>
    <row r="314" spans="1:24">
      <c r="A314" s="13" t="s">
        <v>19</v>
      </c>
      <c r="B314" s="1"/>
      <c r="C314" s="1" t="s">
        <v>29</v>
      </c>
      <c r="D314" s="3">
        <v>5000</v>
      </c>
      <c r="E314"/>
      <c r="F314"/>
      <c r="G314"/>
      <c r="H314"/>
      <c r="I314"/>
      <c r="J314"/>
      <c r="K314"/>
      <c r="L314"/>
      <c r="M314" s="18" t="s">
        <v>193</v>
      </c>
      <c r="N314" t="s">
        <v>1238</v>
      </c>
      <c r="O314"/>
      <c r="P314" s="1" t="s">
        <v>30</v>
      </c>
      <c r="Q314" s="13" t="s">
        <v>25</v>
      </c>
      <c r="R314">
        <v>1</v>
      </c>
      <c r="S314">
        <v>5000</v>
      </c>
      <c r="T314"/>
      <c r="U314" s="9" t="s">
        <v>473</v>
      </c>
      <c r="V314" s="9" t="s">
        <v>1390</v>
      </c>
      <c r="W314" s="9" t="s">
        <v>23</v>
      </c>
      <c r="X314" s="9"/>
    </row>
    <row r="315" spans="1:24">
      <c r="A315" s="13" t="s">
        <v>19</v>
      </c>
      <c r="B315" s="1"/>
      <c r="C315" s="1" t="s">
        <v>29</v>
      </c>
      <c r="D315" s="3">
        <v>15000</v>
      </c>
      <c r="E315"/>
      <c r="F315"/>
      <c r="G315"/>
      <c r="H315"/>
      <c r="I315"/>
      <c r="J315"/>
      <c r="K315"/>
      <c r="L315"/>
      <c r="M315" s="18" t="s">
        <v>193</v>
      </c>
      <c r="N315" t="s">
        <v>1238</v>
      </c>
      <c r="O315"/>
      <c r="P315" s="1" t="s">
        <v>30</v>
      </c>
      <c r="Q315" s="13" t="s">
        <v>25</v>
      </c>
      <c r="R315">
        <v>3</v>
      </c>
      <c r="S315">
        <v>5000</v>
      </c>
      <c r="T315"/>
      <c r="U315" s="9" t="s">
        <v>1125</v>
      </c>
      <c r="V315" s="9" t="s">
        <v>1391</v>
      </c>
      <c r="W315" s="9" t="s">
        <v>1395</v>
      </c>
      <c r="X315" s="9"/>
    </row>
    <row r="316" spans="1:24">
      <c r="A316" s="13" t="s">
        <v>19</v>
      </c>
      <c r="B316" s="1"/>
      <c r="C316" s="1" t="s">
        <v>29</v>
      </c>
      <c r="D316" s="3">
        <v>10000</v>
      </c>
      <c r="E316"/>
      <c r="F316"/>
      <c r="G316"/>
      <c r="H316"/>
      <c r="I316"/>
      <c r="J316"/>
      <c r="K316"/>
      <c r="L316"/>
      <c r="M316" s="18" t="s">
        <v>193</v>
      </c>
      <c r="N316" t="s">
        <v>1238</v>
      </c>
      <c r="O316"/>
      <c r="P316" s="1" t="s">
        <v>30</v>
      </c>
      <c r="Q316" s="13" t="s">
        <v>25</v>
      </c>
      <c r="R316">
        <v>2</v>
      </c>
      <c r="S316">
        <v>5000</v>
      </c>
      <c r="T316"/>
      <c r="U316" s="9" t="s">
        <v>457</v>
      </c>
      <c r="V316" s="9" t="s">
        <v>1392</v>
      </c>
      <c r="W316" s="9" t="s">
        <v>1395</v>
      </c>
      <c r="X316" s="9"/>
    </row>
    <row r="317" spans="1:24">
      <c r="A317" s="13" t="s">
        <v>19</v>
      </c>
      <c r="B317" s="1"/>
      <c r="C317" s="1" t="s">
        <v>29</v>
      </c>
      <c r="D317" s="3">
        <v>10000</v>
      </c>
      <c r="E317"/>
      <c r="F317"/>
      <c r="G317"/>
      <c r="H317"/>
      <c r="I317"/>
      <c r="J317"/>
      <c r="K317"/>
      <c r="L317"/>
      <c r="M317" s="18" t="s">
        <v>193</v>
      </c>
      <c r="N317" t="s">
        <v>1238</v>
      </c>
      <c r="O317"/>
      <c r="P317" s="1" t="s">
        <v>30</v>
      </c>
      <c r="Q317" s="13" t="s">
        <v>25</v>
      </c>
      <c r="R317">
        <v>2</v>
      </c>
      <c r="S317">
        <v>5000</v>
      </c>
      <c r="T317"/>
      <c r="U317" s="9" t="s">
        <v>337</v>
      </c>
      <c r="V317" s="9" t="s">
        <v>1393</v>
      </c>
      <c r="W317" s="9" t="s">
        <v>94</v>
      </c>
      <c r="X317" s="9"/>
    </row>
    <row r="318" spans="1:24">
      <c r="A318" s="13" t="s">
        <v>19</v>
      </c>
      <c r="B318" s="1"/>
      <c r="C318" s="1" t="s">
        <v>29</v>
      </c>
      <c r="D318" s="3">
        <v>15000</v>
      </c>
      <c r="E318"/>
      <c r="F318"/>
      <c r="G318"/>
      <c r="H318"/>
      <c r="I318"/>
      <c r="J318"/>
      <c r="K318"/>
      <c r="L318"/>
      <c r="M318" s="18" t="s">
        <v>193</v>
      </c>
      <c r="N318" t="s">
        <v>1238</v>
      </c>
      <c r="O318"/>
      <c r="P318" s="1" t="s">
        <v>30</v>
      </c>
      <c r="Q318" s="13" t="s">
        <v>25</v>
      </c>
      <c r="R318">
        <v>3</v>
      </c>
      <c r="S318">
        <v>5000</v>
      </c>
      <c r="T318"/>
      <c r="U318" s="9" t="s">
        <v>257</v>
      </c>
      <c r="V318" s="9" t="s">
        <v>1394</v>
      </c>
      <c r="W318" s="9" t="s">
        <v>96</v>
      </c>
      <c r="X318" s="9"/>
    </row>
    <row r="319" spans="1:24">
      <c r="A319" s="13" t="s">
        <v>19</v>
      </c>
      <c r="B319" s="1"/>
      <c r="C319" s="1" t="s">
        <v>29</v>
      </c>
      <c r="D319" s="3">
        <v>10000</v>
      </c>
      <c r="E319"/>
      <c r="F319"/>
      <c r="G319"/>
      <c r="H319"/>
      <c r="I319"/>
      <c r="J319"/>
      <c r="K319"/>
      <c r="L319"/>
      <c r="M319" s="18" t="s">
        <v>193</v>
      </c>
      <c r="N319" t="s">
        <v>1238</v>
      </c>
      <c r="O319"/>
      <c r="P319" s="1" t="s">
        <v>30</v>
      </c>
      <c r="Q319" s="13" t="s">
        <v>25</v>
      </c>
      <c r="R319">
        <v>2</v>
      </c>
      <c r="S319">
        <v>5000</v>
      </c>
      <c r="T319"/>
      <c r="U319" s="9"/>
      <c r="V319" s="9"/>
      <c r="W319" s="9"/>
      <c r="X319" s="9"/>
    </row>
    <row r="320" spans="1:24">
      <c r="A320" s="13" t="s">
        <v>19</v>
      </c>
      <c r="B320" s="1"/>
      <c r="C320" s="1" t="s">
        <v>29</v>
      </c>
      <c r="D320" s="3">
        <v>10000</v>
      </c>
      <c r="E320"/>
      <c r="F320"/>
      <c r="G320"/>
      <c r="H320"/>
      <c r="I320"/>
      <c r="J320"/>
      <c r="K320"/>
      <c r="L320"/>
      <c r="M320" s="18" t="s">
        <v>193</v>
      </c>
      <c r="N320" t="s">
        <v>1238</v>
      </c>
      <c r="O320"/>
      <c r="P320" s="1" t="s">
        <v>30</v>
      </c>
      <c r="Q320" s="13" t="s">
        <v>25</v>
      </c>
      <c r="R320">
        <v>2</v>
      </c>
      <c r="S320">
        <v>5000</v>
      </c>
      <c r="T320"/>
      <c r="U320" s="9"/>
      <c r="V320" s="9"/>
      <c r="W320" s="9"/>
      <c r="X320" s="9"/>
    </row>
    <row r="321" spans="1:24">
      <c r="A321" s="13" t="s">
        <v>19</v>
      </c>
      <c r="B321" s="1"/>
      <c r="C321" s="1" t="s">
        <v>29</v>
      </c>
      <c r="D321" s="3">
        <v>5000</v>
      </c>
      <c r="E321"/>
      <c r="F321"/>
      <c r="G321"/>
      <c r="H321"/>
      <c r="I321"/>
      <c r="J321"/>
      <c r="K321"/>
      <c r="L321"/>
      <c r="M321" s="18" t="s">
        <v>193</v>
      </c>
      <c r="N321" t="s">
        <v>1238</v>
      </c>
      <c r="O321"/>
      <c r="P321" s="1" t="s">
        <v>30</v>
      </c>
      <c r="Q321" s="13" t="s">
        <v>25</v>
      </c>
      <c r="R321">
        <v>1</v>
      </c>
      <c r="S321">
        <v>5000</v>
      </c>
      <c r="T321"/>
      <c r="U321" s="9"/>
      <c r="V321" s="9"/>
      <c r="W321" s="9"/>
      <c r="X321" s="9"/>
    </row>
    <row r="322" spans="1:24">
      <c r="A322" s="13"/>
      <c r="B322" s="1"/>
      <c r="C322" s="1"/>
      <c r="D322" s="3" t="str">
        <f>SUBTOTAL(9,D302:D321)</f>
        <v>0</v>
      </c>
      <c r="E322"/>
      <c r="F322"/>
      <c r="G322"/>
      <c r="H322"/>
      <c r="I322"/>
      <c r="J322"/>
      <c r="K322"/>
      <c r="L322"/>
      <c r="M322" s="18" t="s">
        <v>194</v>
      </c>
      <c r="N322" t="s">
        <v>1443</v>
      </c>
      <c r="O322"/>
      <c r="P322" s="1"/>
      <c r="Q322" s="13"/>
      <c r="R322"/>
      <c r="S322"/>
      <c r="T322"/>
      <c r="U322" s="9"/>
      <c r="V322" s="9"/>
      <c r="W322" s="9"/>
      <c r="X322" s="9"/>
    </row>
    <row r="323" spans="1:24">
      <c r="A323" s="13" t="s">
        <v>19</v>
      </c>
      <c r="B323" s="1"/>
      <c r="C323" s="1" t="s">
        <v>20</v>
      </c>
      <c r="D323" s="3">
        <v>58000</v>
      </c>
      <c r="E323"/>
      <c r="F323"/>
      <c r="G323"/>
      <c r="H323"/>
      <c r="I323"/>
      <c r="J323"/>
      <c r="K323"/>
      <c r="L323"/>
      <c r="M323" s="18" t="s">
        <v>195</v>
      </c>
      <c r="N323" t="s">
        <v>1300</v>
      </c>
      <c r="O323" t="s">
        <v>23</v>
      </c>
      <c r="P323" s="1" t="s">
        <v>580</v>
      </c>
      <c r="Q323" s="13" t="s">
        <v>25</v>
      </c>
      <c r="R323">
        <v>2</v>
      </c>
      <c r="S323">
        <v>29000</v>
      </c>
      <c r="T323"/>
      <c r="U323" s="9"/>
      <c r="V323" s="9"/>
      <c r="W323" s="9"/>
      <c r="X323" s="9"/>
    </row>
    <row r="324" spans="1:24">
      <c r="A324" s="13" t="s">
        <v>19</v>
      </c>
      <c r="B324" s="1"/>
      <c r="C324" s="1" t="s">
        <v>20</v>
      </c>
      <c r="D324" s="3">
        <v>87000</v>
      </c>
      <c r="E324"/>
      <c r="F324"/>
      <c r="G324"/>
      <c r="H324"/>
      <c r="I324"/>
      <c r="J324"/>
      <c r="K324"/>
      <c r="L324"/>
      <c r="M324" s="18" t="s">
        <v>195</v>
      </c>
      <c r="N324" t="s">
        <v>1300</v>
      </c>
      <c r="O324" t="s">
        <v>23</v>
      </c>
      <c r="P324" s="1" t="s">
        <v>581</v>
      </c>
      <c r="Q324" s="13" t="s">
        <v>25</v>
      </c>
      <c r="R324">
        <v>3</v>
      </c>
      <c r="S324">
        <v>29000</v>
      </c>
      <c r="T324"/>
      <c r="U324" s="9"/>
      <c r="V324" s="9"/>
      <c r="W324" s="9"/>
      <c r="X324" s="9"/>
    </row>
    <row r="325" spans="1:24">
      <c r="A325" s="13" t="s">
        <v>19</v>
      </c>
      <c r="B325" s="1"/>
      <c r="C325" s="1" t="s">
        <v>20</v>
      </c>
      <c r="D325" s="3">
        <v>54000</v>
      </c>
      <c r="E325"/>
      <c r="F325"/>
      <c r="G325"/>
      <c r="H325"/>
      <c r="I325"/>
      <c r="J325"/>
      <c r="K325"/>
      <c r="L325"/>
      <c r="M325" s="18" t="s">
        <v>195</v>
      </c>
      <c r="N325" t="s">
        <v>1300</v>
      </c>
      <c r="O325" t="s">
        <v>23</v>
      </c>
      <c r="P325" s="1" t="s">
        <v>582</v>
      </c>
      <c r="Q325" s="13" t="s">
        <v>25</v>
      </c>
      <c r="R325">
        <v>2</v>
      </c>
      <c r="S325">
        <v>27000</v>
      </c>
      <c r="T325"/>
      <c r="U325" s="9"/>
      <c r="V325" s="9"/>
      <c r="W325" s="9"/>
      <c r="X325" s="9"/>
    </row>
    <row r="326" spans="1:24">
      <c r="A326" s="13" t="s">
        <v>19</v>
      </c>
      <c r="B326" s="1"/>
      <c r="C326" s="1" t="s">
        <v>20</v>
      </c>
      <c r="D326" s="3">
        <v>58000</v>
      </c>
      <c r="E326"/>
      <c r="F326"/>
      <c r="G326"/>
      <c r="H326"/>
      <c r="I326"/>
      <c r="J326"/>
      <c r="K326"/>
      <c r="L326"/>
      <c r="M326" s="18" t="s">
        <v>195</v>
      </c>
      <c r="N326" t="s">
        <v>1300</v>
      </c>
      <c r="O326" t="s">
        <v>23</v>
      </c>
      <c r="P326" s="1" t="s">
        <v>583</v>
      </c>
      <c r="Q326" s="13" t="s">
        <v>25</v>
      </c>
      <c r="R326">
        <v>2</v>
      </c>
      <c r="S326">
        <v>29000</v>
      </c>
      <c r="T326"/>
      <c r="U326" s="9"/>
      <c r="V326" s="9"/>
      <c r="W326" s="9"/>
      <c r="X326" s="9"/>
    </row>
    <row r="327" spans="1:24">
      <c r="A327" s="13" t="s">
        <v>19</v>
      </c>
      <c r="B327" s="1"/>
      <c r="C327" s="1" t="s">
        <v>20</v>
      </c>
      <c r="D327" s="3">
        <v>29000</v>
      </c>
      <c r="E327"/>
      <c r="F327"/>
      <c r="G327"/>
      <c r="H327"/>
      <c r="I327"/>
      <c r="J327"/>
      <c r="K327"/>
      <c r="L327"/>
      <c r="M327" s="18" t="s">
        <v>195</v>
      </c>
      <c r="N327" t="s">
        <v>1300</v>
      </c>
      <c r="O327" t="s">
        <v>23</v>
      </c>
      <c r="P327" s="1" t="s">
        <v>584</v>
      </c>
      <c r="Q327" s="13" t="s">
        <v>25</v>
      </c>
      <c r="R327">
        <v>1</v>
      </c>
      <c r="S327">
        <v>29000</v>
      </c>
      <c r="T327"/>
      <c r="U327" s="9"/>
      <c r="V327" s="9"/>
      <c r="W327" s="9"/>
      <c r="X327" s="9"/>
    </row>
    <row r="328" spans="1:24">
      <c r="A328" s="13" t="s">
        <v>19</v>
      </c>
      <c r="B328" s="1"/>
      <c r="C328" s="1" t="s">
        <v>20</v>
      </c>
      <c r="D328" s="3">
        <v>116000</v>
      </c>
      <c r="E328"/>
      <c r="F328"/>
      <c r="G328"/>
      <c r="H328"/>
      <c r="I328"/>
      <c r="J328"/>
      <c r="K328"/>
      <c r="L328"/>
      <c r="M328" s="18" t="s">
        <v>195</v>
      </c>
      <c r="N328" t="s">
        <v>1300</v>
      </c>
      <c r="O328" t="s">
        <v>23</v>
      </c>
      <c r="P328" s="1" t="s">
        <v>585</v>
      </c>
      <c r="Q328" s="13" t="s">
        <v>25</v>
      </c>
      <c r="R328">
        <v>4</v>
      </c>
      <c r="S328">
        <v>29000</v>
      </c>
      <c r="T328"/>
      <c r="U328" s="9"/>
      <c r="V328" s="9"/>
      <c r="W328" s="9"/>
      <c r="X328" s="9"/>
    </row>
    <row r="329" spans="1:24">
      <c r="A329" s="13" t="s">
        <v>19</v>
      </c>
      <c r="B329" s="1"/>
      <c r="C329" s="1" t="s">
        <v>26</v>
      </c>
      <c r="D329" s="3">
        <v>75000</v>
      </c>
      <c r="E329"/>
      <c r="F329"/>
      <c r="G329"/>
      <c r="H329"/>
      <c r="I329"/>
      <c r="J329"/>
      <c r="K329"/>
      <c r="L329"/>
      <c r="M329" s="18" t="s">
        <v>195</v>
      </c>
      <c r="N329" t="s">
        <v>1300</v>
      </c>
      <c r="O329" t="s">
        <v>23</v>
      </c>
      <c r="P329" s="1" t="s">
        <v>586</v>
      </c>
      <c r="Q329" s="13" t="s">
        <v>25</v>
      </c>
      <c r="R329">
        <v>3</v>
      </c>
      <c r="S329">
        <v>25000</v>
      </c>
      <c r="T329"/>
      <c r="U329" s="9"/>
      <c r="V329" s="9"/>
      <c r="W329" s="9"/>
      <c r="X329" s="9"/>
    </row>
    <row r="330" spans="1:24">
      <c r="A330" s="13" t="s">
        <v>19</v>
      </c>
      <c r="B330" s="1"/>
      <c r="C330" s="1" t="s">
        <v>26</v>
      </c>
      <c r="D330" s="3">
        <v>25000</v>
      </c>
      <c r="E330"/>
      <c r="F330"/>
      <c r="G330"/>
      <c r="H330"/>
      <c r="I330"/>
      <c r="J330"/>
      <c r="K330"/>
      <c r="L330"/>
      <c r="M330" s="18" t="s">
        <v>195</v>
      </c>
      <c r="N330" t="s">
        <v>1300</v>
      </c>
      <c r="O330" t="s">
        <v>23</v>
      </c>
      <c r="P330" s="1" t="s">
        <v>587</v>
      </c>
      <c r="Q330" s="13" t="s">
        <v>25</v>
      </c>
      <c r="R330">
        <v>1</v>
      </c>
      <c r="S330">
        <v>25000</v>
      </c>
      <c r="T330"/>
      <c r="U330" s="9"/>
      <c r="V330" s="9"/>
      <c r="W330" s="9"/>
      <c r="X330" s="9"/>
    </row>
    <row r="331" spans="1:24">
      <c r="A331" s="13" t="s">
        <v>19</v>
      </c>
      <c r="B331" s="1"/>
      <c r="C331" s="1" t="s">
        <v>26</v>
      </c>
      <c r="D331" s="3">
        <v>50000</v>
      </c>
      <c r="E331"/>
      <c r="F331"/>
      <c r="G331"/>
      <c r="H331"/>
      <c r="I331"/>
      <c r="J331"/>
      <c r="K331"/>
      <c r="L331"/>
      <c r="M331" s="18" t="s">
        <v>195</v>
      </c>
      <c r="N331" t="s">
        <v>1300</v>
      </c>
      <c r="O331" t="s">
        <v>23</v>
      </c>
      <c r="P331" s="1" t="s">
        <v>588</v>
      </c>
      <c r="Q331" s="13" t="s">
        <v>25</v>
      </c>
      <c r="R331">
        <v>2</v>
      </c>
      <c r="S331">
        <v>25000</v>
      </c>
      <c r="T331"/>
      <c r="U331" s="9"/>
      <c r="V331" s="9"/>
      <c r="W331" s="9"/>
      <c r="X331" s="9"/>
    </row>
    <row r="332" spans="1:24">
      <c r="A332" s="13" t="s">
        <v>19</v>
      </c>
      <c r="B332" s="1"/>
      <c r="C332" s="1" t="s">
        <v>26</v>
      </c>
      <c r="D332" s="3">
        <v>25000</v>
      </c>
      <c r="E332"/>
      <c r="F332"/>
      <c r="G332"/>
      <c r="H332"/>
      <c r="I332"/>
      <c r="J332"/>
      <c r="K332"/>
      <c r="L332"/>
      <c r="M332" s="18" t="s">
        <v>195</v>
      </c>
      <c r="N332" t="s">
        <v>1300</v>
      </c>
      <c r="O332" t="s">
        <v>23</v>
      </c>
      <c r="P332" s="1" t="s">
        <v>589</v>
      </c>
      <c r="Q332" s="13" t="s">
        <v>25</v>
      </c>
      <c r="R332">
        <v>1</v>
      </c>
      <c r="S332">
        <v>25000</v>
      </c>
      <c r="T332"/>
      <c r="U332" s="9"/>
      <c r="V332" s="9"/>
      <c r="W332" s="9"/>
      <c r="X332" s="9"/>
    </row>
    <row r="333" spans="1:24">
      <c r="A333" s="13" t="s">
        <v>19</v>
      </c>
      <c r="B333" s="1"/>
      <c r="C333" s="1" t="s">
        <v>26</v>
      </c>
      <c r="D333" s="3">
        <v>50000</v>
      </c>
      <c r="E333"/>
      <c r="F333"/>
      <c r="G333"/>
      <c r="H333"/>
      <c r="I333"/>
      <c r="J333"/>
      <c r="K333"/>
      <c r="L333"/>
      <c r="M333" s="18" t="s">
        <v>195</v>
      </c>
      <c r="N333" t="s">
        <v>1300</v>
      </c>
      <c r="O333" t="s">
        <v>23</v>
      </c>
      <c r="P333" s="1" t="s">
        <v>590</v>
      </c>
      <c r="Q333" s="13" t="s">
        <v>25</v>
      </c>
      <c r="R333">
        <v>2</v>
      </c>
      <c r="S333">
        <v>25000</v>
      </c>
      <c r="T333"/>
      <c r="U333" s="9"/>
      <c r="V333" s="9"/>
      <c r="W333" s="9"/>
      <c r="X333" s="9"/>
    </row>
    <row r="334" spans="1:24">
      <c r="A334" s="13" t="s">
        <v>19</v>
      </c>
      <c r="B334" s="1"/>
      <c r="C334" s="1" t="s">
        <v>29</v>
      </c>
      <c r="D334" s="3">
        <v>10000</v>
      </c>
      <c r="E334"/>
      <c r="F334"/>
      <c r="G334"/>
      <c r="H334"/>
      <c r="I334"/>
      <c r="J334"/>
      <c r="K334"/>
      <c r="L334"/>
      <c r="M334" s="18" t="s">
        <v>195</v>
      </c>
      <c r="N334" t="s">
        <v>1300</v>
      </c>
      <c r="O334" t="s">
        <v>23</v>
      </c>
      <c r="P334" s="1" t="s">
        <v>591</v>
      </c>
      <c r="Q334" s="13" t="s">
        <v>25</v>
      </c>
      <c r="R334">
        <v>2</v>
      </c>
      <c r="S334">
        <v>5000</v>
      </c>
      <c r="T334"/>
      <c r="U334" s="9"/>
      <c r="V334" s="9"/>
      <c r="W334" s="9"/>
      <c r="X334" s="9"/>
    </row>
    <row r="335" spans="1:24">
      <c r="A335" s="13" t="s">
        <v>19</v>
      </c>
      <c r="B335" s="1"/>
      <c r="C335" s="1" t="s">
        <v>29</v>
      </c>
      <c r="D335" s="3">
        <v>15000</v>
      </c>
      <c r="E335"/>
      <c r="F335"/>
      <c r="G335"/>
      <c r="H335"/>
      <c r="I335"/>
      <c r="J335"/>
      <c r="K335"/>
      <c r="L335"/>
      <c r="M335" s="18" t="s">
        <v>195</v>
      </c>
      <c r="N335" t="s">
        <v>1300</v>
      </c>
      <c r="O335" t="s">
        <v>23</v>
      </c>
      <c r="P335" s="1" t="s">
        <v>592</v>
      </c>
      <c r="Q335" s="13" t="s">
        <v>25</v>
      </c>
      <c r="R335">
        <v>3</v>
      </c>
      <c r="S335">
        <v>5000</v>
      </c>
      <c r="T335"/>
      <c r="U335" s="9"/>
      <c r="V335" s="9"/>
      <c r="W335" s="9"/>
      <c r="X335" s="9"/>
    </row>
    <row r="336" spans="1:24">
      <c r="A336" s="13" t="s">
        <v>19</v>
      </c>
      <c r="B336" s="1"/>
      <c r="C336" s="1" t="s">
        <v>29</v>
      </c>
      <c r="D336" s="3">
        <v>14000</v>
      </c>
      <c r="E336"/>
      <c r="F336"/>
      <c r="G336"/>
      <c r="H336"/>
      <c r="I336"/>
      <c r="J336"/>
      <c r="K336"/>
      <c r="L336"/>
      <c r="M336" s="18" t="s">
        <v>195</v>
      </c>
      <c r="N336" t="s">
        <v>1300</v>
      </c>
      <c r="O336" t="s">
        <v>23</v>
      </c>
      <c r="P336" s="1" t="s">
        <v>593</v>
      </c>
      <c r="Q336" s="13" t="s">
        <v>25</v>
      </c>
      <c r="R336">
        <v>2</v>
      </c>
      <c r="S336">
        <v>7000</v>
      </c>
      <c r="T336"/>
      <c r="U336" s="9"/>
      <c r="V336" s="9"/>
      <c r="W336" s="9"/>
      <c r="X336" s="9"/>
    </row>
    <row r="337" spans="1:24">
      <c r="A337" s="13" t="s">
        <v>19</v>
      </c>
      <c r="B337" s="1"/>
      <c r="C337" s="1" t="s">
        <v>29</v>
      </c>
      <c r="D337" s="3">
        <v>10000</v>
      </c>
      <c r="E337"/>
      <c r="F337"/>
      <c r="G337"/>
      <c r="H337"/>
      <c r="I337"/>
      <c r="J337"/>
      <c r="K337"/>
      <c r="L337"/>
      <c r="M337" s="18" t="s">
        <v>195</v>
      </c>
      <c r="N337" t="s">
        <v>1300</v>
      </c>
      <c r="O337" t="s">
        <v>23</v>
      </c>
      <c r="P337" s="1" t="s">
        <v>594</v>
      </c>
      <c r="Q337" s="13" t="s">
        <v>25</v>
      </c>
      <c r="R337">
        <v>2</v>
      </c>
      <c r="S337">
        <v>5000</v>
      </c>
      <c r="T337"/>
      <c r="U337" s="9"/>
      <c r="V337" s="9"/>
      <c r="W337" s="9"/>
      <c r="X337" s="9"/>
    </row>
    <row r="338" spans="1:24">
      <c r="A338" s="13" t="s">
        <v>19</v>
      </c>
      <c r="B338" s="1"/>
      <c r="C338" s="1" t="s">
        <v>29</v>
      </c>
      <c r="D338" s="3">
        <v>5000</v>
      </c>
      <c r="E338"/>
      <c r="F338"/>
      <c r="G338"/>
      <c r="H338"/>
      <c r="I338"/>
      <c r="J338"/>
      <c r="K338"/>
      <c r="L338"/>
      <c r="M338" s="18" t="s">
        <v>195</v>
      </c>
      <c r="N338" t="s">
        <v>1300</v>
      </c>
      <c r="O338" t="s">
        <v>23</v>
      </c>
      <c r="P338" s="1" t="s">
        <v>595</v>
      </c>
      <c r="Q338" s="13" t="s">
        <v>25</v>
      </c>
      <c r="R338">
        <v>1</v>
      </c>
      <c r="S338">
        <v>5000</v>
      </c>
      <c r="T338"/>
      <c r="U338" s="9"/>
      <c r="V338" s="9"/>
      <c r="W338" s="9"/>
      <c r="X338" s="9"/>
    </row>
    <row r="339" spans="1:24">
      <c r="A339" s="13" t="s">
        <v>19</v>
      </c>
      <c r="B339" s="1"/>
      <c r="C339" s="1" t="s">
        <v>29</v>
      </c>
      <c r="D339" s="3">
        <v>20000</v>
      </c>
      <c r="E339"/>
      <c r="F339"/>
      <c r="G339"/>
      <c r="H339"/>
      <c r="I339"/>
      <c r="J339"/>
      <c r="K339"/>
      <c r="L339"/>
      <c r="M339" s="18" t="s">
        <v>195</v>
      </c>
      <c r="N339" t="s">
        <v>1300</v>
      </c>
      <c r="O339" t="s">
        <v>23</v>
      </c>
      <c r="P339" s="1" t="s">
        <v>596</v>
      </c>
      <c r="Q339" s="13" t="s">
        <v>25</v>
      </c>
      <c r="R339">
        <v>4</v>
      </c>
      <c r="S339">
        <v>5000</v>
      </c>
      <c r="T339"/>
      <c r="U339" s="9"/>
      <c r="V339" s="9"/>
      <c r="W339" s="9"/>
      <c r="X339" s="9"/>
    </row>
    <row r="340" spans="1:24">
      <c r="A340" s="13" t="s">
        <v>19</v>
      </c>
      <c r="B340" s="1"/>
      <c r="C340" s="1" t="s">
        <v>32</v>
      </c>
      <c r="D340" s="3">
        <v>15000</v>
      </c>
      <c r="E340"/>
      <c r="F340"/>
      <c r="G340"/>
      <c r="H340"/>
      <c r="I340"/>
      <c r="J340"/>
      <c r="K340"/>
      <c r="L340"/>
      <c r="M340" s="18" t="s">
        <v>195</v>
      </c>
      <c r="N340" t="s">
        <v>1300</v>
      </c>
      <c r="O340" t="s">
        <v>23</v>
      </c>
      <c r="P340" s="1" t="s">
        <v>597</v>
      </c>
      <c r="Q340" s="13" t="s">
        <v>25</v>
      </c>
      <c r="R340">
        <v>3</v>
      </c>
      <c r="S340">
        <v>5000</v>
      </c>
      <c r="T340"/>
      <c r="U340" s="9"/>
      <c r="V340" s="9"/>
      <c r="W340" s="9"/>
      <c r="X340" s="9"/>
    </row>
    <row r="341" spans="1:24">
      <c r="A341" s="13" t="s">
        <v>19</v>
      </c>
      <c r="B341" s="1"/>
      <c r="C341" s="1" t="s">
        <v>32</v>
      </c>
      <c r="D341" s="3">
        <v>5000</v>
      </c>
      <c r="E341"/>
      <c r="F341"/>
      <c r="G341"/>
      <c r="H341"/>
      <c r="I341"/>
      <c r="J341"/>
      <c r="K341"/>
      <c r="L341"/>
      <c r="M341" s="18" t="s">
        <v>195</v>
      </c>
      <c r="N341" t="s">
        <v>1300</v>
      </c>
      <c r="O341" t="s">
        <v>23</v>
      </c>
      <c r="P341" s="1" t="s">
        <v>598</v>
      </c>
      <c r="Q341" s="13" t="s">
        <v>25</v>
      </c>
      <c r="R341">
        <v>1</v>
      </c>
      <c r="S341">
        <v>5000</v>
      </c>
      <c r="T341"/>
      <c r="U341" s="9"/>
      <c r="V341" s="9"/>
      <c r="W341" s="9"/>
      <c r="X341" s="9"/>
    </row>
    <row r="342" spans="1:24">
      <c r="A342" s="13" t="s">
        <v>19</v>
      </c>
      <c r="B342" s="1"/>
      <c r="C342" s="1" t="s">
        <v>32</v>
      </c>
      <c r="D342" s="3">
        <v>10000</v>
      </c>
      <c r="E342"/>
      <c r="F342"/>
      <c r="G342"/>
      <c r="H342"/>
      <c r="I342"/>
      <c r="J342"/>
      <c r="K342"/>
      <c r="L342"/>
      <c r="M342" s="18" t="s">
        <v>195</v>
      </c>
      <c r="N342" t="s">
        <v>1300</v>
      </c>
      <c r="O342" t="s">
        <v>23</v>
      </c>
      <c r="P342" s="1" t="s">
        <v>599</v>
      </c>
      <c r="Q342" s="13" t="s">
        <v>25</v>
      </c>
      <c r="R342">
        <v>2</v>
      </c>
      <c r="S342">
        <v>5000</v>
      </c>
      <c r="T342"/>
      <c r="U342" s="9"/>
      <c r="V342" s="9"/>
      <c r="W342" s="9"/>
      <c r="X342" s="9"/>
    </row>
    <row r="343" spans="1:24">
      <c r="A343" s="13" t="s">
        <v>19</v>
      </c>
      <c r="B343" s="1"/>
      <c r="C343" s="1" t="s">
        <v>32</v>
      </c>
      <c r="D343" s="3">
        <v>5000</v>
      </c>
      <c r="E343"/>
      <c r="F343"/>
      <c r="G343"/>
      <c r="H343"/>
      <c r="I343"/>
      <c r="J343"/>
      <c r="K343"/>
      <c r="L343"/>
      <c r="M343" s="18" t="s">
        <v>195</v>
      </c>
      <c r="N343" t="s">
        <v>1300</v>
      </c>
      <c r="O343" t="s">
        <v>23</v>
      </c>
      <c r="P343" s="1" t="s">
        <v>600</v>
      </c>
      <c r="Q343" s="13" t="s">
        <v>25</v>
      </c>
      <c r="R343">
        <v>1</v>
      </c>
      <c r="S343">
        <v>5000</v>
      </c>
      <c r="T343"/>
      <c r="U343" s="9"/>
      <c r="V343" s="9"/>
      <c r="W343" s="9"/>
      <c r="X343" s="9"/>
    </row>
    <row r="344" spans="1:24">
      <c r="A344" s="13" t="s">
        <v>19</v>
      </c>
      <c r="B344" s="1"/>
      <c r="C344" s="1" t="s">
        <v>32</v>
      </c>
      <c r="D344" s="3">
        <v>10000</v>
      </c>
      <c r="E344"/>
      <c r="F344"/>
      <c r="G344"/>
      <c r="H344"/>
      <c r="I344"/>
      <c r="J344"/>
      <c r="K344"/>
      <c r="L344"/>
      <c r="M344" s="18" t="s">
        <v>195</v>
      </c>
      <c r="N344" t="s">
        <v>1300</v>
      </c>
      <c r="O344" t="s">
        <v>23</v>
      </c>
      <c r="P344" s="1" t="s">
        <v>601</v>
      </c>
      <c r="Q344" s="13" t="s">
        <v>25</v>
      </c>
      <c r="R344">
        <v>2</v>
      </c>
      <c r="S344">
        <v>5000</v>
      </c>
      <c r="T344"/>
      <c r="U344" s="9"/>
      <c r="V344" s="9"/>
      <c r="W344" s="9"/>
      <c r="X344" s="9"/>
    </row>
    <row r="345" spans="1:24">
      <c r="A345" s="13"/>
      <c r="B345" s="1"/>
      <c r="C345" s="1"/>
      <c r="D345" s="3" t="str">
        <f>SUBTOTAL(9,D323:D344)</f>
        <v>0</v>
      </c>
      <c r="E345"/>
      <c r="F345"/>
      <c r="G345"/>
      <c r="H345"/>
      <c r="I345"/>
      <c r="J345"/>
      <c r="K345"/>
      <c r="L345"/>
      <c r="M345" s="18" t="s">
        <v>196</v>
      </c>
      <c r="N345" t="s">
        <v>1444</v>
      </c>
      <c r="O345" t="s">
        <v>23</v>
      </c>
      <c r="P345" s="1"/>
      <c r="Q345" s="13"/>
      <c r="R345"/>
      <c r="S345"/>
      <c r="T345"/>
      <c r="U345" s="9"/>
      <c r="V345" s="9"/>
      <c r="W345" s="9"/>
      <c r="X345" s="9"/>
    </row>
    <row r="346" spans="1:24">
      <c r="A346" s="13" t="s">
        <v>19</v>
      </c>
      <c r="B346" s="1"/>
      <c r="C346" s="1" t="s">
        <v>20</v>
      </c>
      <c r="D346" s="3">
        <v>60000</v>
      </c>
      <c r="E346"/>
      <c r="F346"/>
      <c r="G346"/>
      <c r="H346"/>
      <c r="I346"/>
      <c r="J346"/>
      <c r="K346"/>
      <c r="L346"/>
      <c r="M346" s="18" t="s">
        <v>197</v>
      </c>
      <c r="N346" t="s">
        <v>1335</v>
      </c>
      <c r="O346" t="s">
        <v>98</v>
      </c>
      <c r="P346" s="1" t="s">
        <v>581</v>
      </c>
      <c r="Q346" s="13" t="s">
        <v>25</v>
      </c>
      <c r="R346">
        <v>2</v>
      </c>
      <c r="S346">
        <v>30000</v>
      </c>
      <c r="T346"/>
      <c r="U346" s="9"/>
      <c r="V346" s="9"/>
      <c r="W346" s="9"/>
      <c r="X346" s="9"/>
    </row>
    <row r="347" spans="1:24">
      <c r="A347" s="13" t="s">
        <v>19</v>
      </c>
      <c r="B347" s="1"/>
      <c r="C347" s="1" t="s">
        <v>20</v>
      </c>
      <c r="D347" s="3">
        <v>60000</v>
      </c>
      <c r="E347"/>
      <c r="F347"/>
      <c r="G347"/>
      <c r="H347"/>
      <c r="I347"/>
      <c r="J347"/>
      <c r="K347"/>
      <c r="L347"/>
      <c r="M347" s="18" t="s">
        <v>197</v>
      </c>
      <c r="N347" t="s">
        <v>1335</v>
      </c>
      <c r="O347" t="s">
        <v>98</v>
      </c>
      <c r="P347" s="1" t="s">
        <v>602</v>
      </c>
      <c r="Q347" s="13" t="s">
        <v>25</v>
      </c>
      <c r="R347">
        <v>2</v>
      </c>
      <c r="S347">
        <v>30000</v>
      </c>
      <c r="T347"/>
      <c r="U347" s="9"/>
      <c r="V347" s="9"/>
      <c r="W347" s="9"/>
      <c r="X347" s="9"/>
    </row>
    <row r="348" spans="1:24">
      <c r="A348" s="13" t="s">
        <v>19</v>
      </c>
      <c r="B348" s="1"/>
      <c r="C348" s="1" t="s">
        <v>20</v>
      </c>
      <c r="D348" s="3">
        <v>90000</v>
      </c>
      <c r="E348"/>
      <c r="F348"/>
      <c r="G348"/>
      <c r="H348"/>
      <c r="I348"/>
      <c r="J348"/>
      <c r="K348"/>
      <c r="L348"/>
      <c r="M348" s="18" t="s">
        <v>197</v>
      </c>
      <c r="N348" t="s">
        <v>1335</v>
      </c>
      <c r="O348" t="s">
        <v>98</v>
      </c>
      <c r="P348" s="1" t="s">
        <v>603</v>
      </c>
      <c r="Q348" s="13" t="s">
        <v>25</v>
      </c>
      <c r="R348">
        <v>3</v>
      </c>
      <c r="S348">
        <v>30000</v>
      </c>
      <c r="T348"/>
      <c r="U348" s="9"/>
      <c r="V348" s="9"/>
      <c r="W348" s="9"/>
      <c r="X348" s="9"/>
    </row>
    <row r="349" spans="1:24">
      <c r="A349" s="13" t="s">
        <v>19</v>
      </c>
      <c r="B349" s="1"/>
      <c r="C349" s="1" t="s">
        <v>20</v>
      </c>
      <c r="D349" s="3">
        <v>30000</v>
      </c>
      <c r="E349"/>
      <c r="F349"/>
      <c r="G349"/>
      <c r="H349"/>
      <c r="I349"/>
      <c r="J349"/>
      <c r="K349"/>
      <c r="L349"/>
      <c r="M349" s="18" t="s">
        <v>197</v>
      </c>
      <c r="N349" t="s">
        <v>1335</v>
      </c>
      <c r="O349" t="s">
        <v>98</v>
      </c>
      <c r="P349" s="1" t="s">
        <v>604</v>
      </c>
      <c r="Q349" s="13" t="s">
        <v>25</v>
      </c>
      <c r="R349">
        <v>1</v>
      </c>
      <c r="S349">
        <v>30000</v>
      </c>
      <c r="T349"/>
      <c r="U349" s="9"/>
      <c r="V349" s="9"/>
      <c r="W349" s="9"/>
      <c r="X349" s="9"/>
    </row>
    <row r="350" spans="1:24">
      <c r="A350" s="13" t="s">
        <v>19</v>
      </c>
      <c r="B350" s="1"/>
      <c r="C350" s="1" t="s">
        <v>26</v>
      </c>
      <c r="D350" s="3">
        <v>28000</v>
      </c>
      <c r="E350"/>
      <c r="F350"/>
      <c r="G350"/>
      <c r="H350"/>
      <c r="I350"/>
      <c r="J350"/>
      <c r="K350"/>
      <c r="L350"/>
      <c r="M350" s="18" t="s">
        <v>197</v>
      </c>
      <c r="N350" t="s">
        <v>1335</v>
      </c>
      <c r="O350" t="s">
        <v>98</v>
      </c>
      <c r="P350" s="1" t="s">
        <v>605</v>
      </c>
      <c r="Q350" s="13" t="s">
        <v>25</v>
      </c>
      <c r="R350">
        <v>1</v>
      </c>
      <c r="S350">
        <v>28000</v>
      </c>
      <c r="T350"/>
      <c r="U350" s="9"/>
      <c r="V350" s="9"/>
      <c r="W350" s="9"/>
      <c r="X350" s="9"/>
    </row>
    <row r="351" spans="1:24">
      <c r="A351" s="13" t="s">
        <v>19</v>
      </c>
      <c r="B351" s="1"/>
      <c r="C351" s="1" t="s">
        <v>26</v>
      </c>
      <c r="D351" s="3">
        <v>28000</v>
      </c>
      <c r="E351"/>
      <c r="F351"/>
      <c r="G351"/>
      <c r="H351"/>
      <c r="I351"/>
      <c r="J351"/>
      <c r="K351"/>
      <c r="L351"/>
      <c r="M351" s="18" t="s">
        <v>197</v>
      </c>
      <c r="N351" t="s">
        <v>1335</v>
      </c>
      <c r="O351" t="s">
        <v>98</v>
      </c>
      <c r="P351" s="1" t="s">
        <v>606</v>
      </c>
      <c r="Q351" s="13" t="s">
        <v>25</v>
      </c>
      <c r="R351">
        <v>1</v>
      </c>
      <c r="S351">
        <v>28000</v>
      </c>
      <c r="T351"/>
      <c r="U351" s="9"/>
      <c r="V351" s="9"/>
      <c r="W351" s="9"/>
      <c r="X351" s="9"/>
    </row>
    <row r="352" spans="1:24">
      <c r="A352" s="13" t="s">
        <v>19</v>
      </c>
      <c r="B352" s="1"/>
      <c r="C352" s="1" t="s">
        <v>26</v>
      </c>
      <c r="D352" s="3">
        <v>84000</v>
      </c>
      <c r="E352"/>
      <c r="F352"/>
      <c r="G352"/>
      <c r="H352"/>
      <c r="I352"/>
      <c r="J352"/>
      <c r="K352"/>
      <c r="L352"/>
      <c r="M352" s="18" t="s">
        <v>197</v>
      </c>
      <c r="N352" t="s">
        <v>1335</v>
      </c>
      <c r="O352" t="s">
        <v>98</v>
      </c>
      <c r="P352" s="1" t="s">
        <v>607</v>
      </c>
      <c r="Q352" s="13" t="s">
        <v>25</v>
      </c>
      <c r="R352">
        <v>3</v>
      </c>
      <c r="S352">
        <v>28000</v>
      </c>
      <c r="T352"/>
      <c r="U352" s="9"/>
      <c r="V352" s="9"/>
      <c r="W352" s="9"/>
      <c r="X352" s="9"/>
    </row>
    <row r="353" spans="1:24">
      <c r="A353" s="13" t="s">
        <v>19</v>
      </c>
      <c r="B353" s="1"/>
      <c r="C353" s="1" t="s">
        <v>26</v>
      </c>
      <c r="D353" s="3">
        <v>28000</v>
      </c>
      <c r="E353"/>
      <c r="F353"/>
      <c r="G353"/>
      <c r="H353"/>
      <c r="I353"/>
      <c r="J353"/>
      <c r="K353"/>
      <c r="L353"/>
      <c r="M353" s="18" t="s">
        <v>197</v>
      </c>
      <c r="N353" t="s">
        <v>1335</v>
      </c>
      <c r="O353" t="s">
        <v>98</v>
      </c>
      <c r="P353" s="1" t="s">
        <v>608</v>
      </c>
      <c r="Q353" s="13" t="s">
        <v>25</v>
      </c>
      <c r="R353">
        <v>1</v>
      </c>
      <c r="S353">
        <v>28000</v>
      </c>
      <c r="T353"/>
      <c r="U353" s="9"/>
      <c r="V353" s="9"/>
      <c r="W353" s="9"/>
      <c r="X353" s="9"/>
    </row>
    <row r="354" spans="1:24">
      <c r="A354" s="13" t="s">
        <v>19</v>
      </c>
      <c r="B354" s="1"/>
      <c r="C354" s="1" t="s">
        <v>26</v>
      </c>
      <c r="D354" s="3">
        <v>28000</v>
      </c>
      <c r="E354"/>
      <c r="F354"/>
      <c r="G354"/>
      <c r="H354"/>
      <c r="I354"/>
      <c r="J354"/>
      <c r="K354"/>
      <c r="L354"/>
      <c r="M354" s="18" t="s">
        <v>197</v>
      </c>
      <c r="N354" t="s">
        <v>1335</v>
      </c>
      <c r="O354" t="s">
        <v>98</v>
      </c>
      <c r="P354" s="1" t="s">
        <v>609</v>
      </c>
      <c r="Q354" s="13" t="s">
        <v>25</v>
      </c>
      <c r="R354">
        <v>1</v>
      </c>
      <c r="S354">
        <v>28000</v>
      </c>
      <c r="T354"/>
      <c r="U354" s="9"/>
      <c r="V354" s="9"/>
      <c r="W354" s="9"/>
      <c r="X354" s="9"/>
    </row>
    <row r="355" spans="1:24">
      <c r="A355" s="13" t="s">
        <v>19</v>
      </c>
      <c r="B355" s="1"/>
      <c r="C355" s="1" t="s">
        <v>26</v>
      </c>
      <c r="D355" s="3">
        <v>84000</v>
      </c>
      <c r="E355"/>
      <c r="F355"/>
      <c r="G355"/>
      <c r="H355"/>
      <c r="I355"/>
      <c r="J355"/>
      <c r="K355"/>
      <c r="L355"/>
      <c r="M355" s="18" t="s">
        <v>197</v>
      </c>
      <c r="N355" t="s">
        <v>1335</v>
      </c>
      <c r="O355" t="s">
        <v>98</v>
      </c>
      <c r="P355" s="1" t="s">
        <v>610</v>
      </c>
      <c r="Q355" s="13" t="s">
        <v>25</v>
      </c>
      <c r="R355">
        <v>3</v>
      </c>
      <c r="S355">
        <v>28000</v>
      </c>
      <c r="T355"/>
      <c r="U355" s="9"/>
      <c r="V355" s="9"/>
      <c r="W355" s="9"/>
      <c r="X355" s="9"/>
    </row>
    <row r="356" spans="1:24">
      <c r="A356" s="13" t="s">
        <v>19</v>
      </c>
      <c r="B356" s="1"/>
      <c r="C356" s="1" t="s">
        <v>26</v>
      </c>
      <c r="D356" s="3">
        <v>23000</v>
      </c>
      <c r="E356"/>
      <c r="F356"/>
      <c r="G356"/>
      <c r="H356"/>
      <c r="I356"/>
      <c r="J356"/>
      <c r="K356"/>
      <c r="L356"/>
      <c r="M356" s="18" t="s">
        <v>197</v>
      </c>
      <c r="N356" t="s">
        <v>1335</v>
      </c>
      <c r="O356" t="s">
        <v>98</v>
      </c>
      <c r="P356" s="1" t="s">
        <v>611</v>
      </c>
      <c r="Q356" s="13" t="s">
        <v>25</v>
      </c>
      <c r="R356">
        <v>1</v>
      </c>
      <c r="S356">
        <v>23000</v>
      </c>
      <c r="T356"/>
      <c r="U356" s="9"/>
      <c r="V356" s="9"/>
      <c r="W356" s="9"/>
      <c r="X356" s="9"/>
    </row>
    <row r="357" spans="1:24">
      <c r="A357" s="13" t="s">
        <v>19</v>
      </c>
      <c r="B357" s="1"/>
      <c r="C357" s="1" t="s">
        <v>29</v>
      </c>
      <c r="D357" s="3">
        <v>10000</v>
      </c>
      <c r="E357"/>
      <c r="F357"/>
      <c r="G357"/>
      <c r="H357"/>
      <c r="I357"/>
      <c r="J357"/>
      <c r="K357"/>
      <c r="L357"/>
      <c r="M357" s="18" t="s">
        <v>197</v>
      </c>
      <c r="N357" t="s">
        <v>1335</v>
      </c>
      <c r="O357" t="s">
        <v>98</v>
      </c>
      <c r="P357" s="1" t="s">
        <v>592</v>
      </c>
      <c r="Q357" s="13" t="s">
        <v>25</v>
      </c>
      <c r="R357">
        <v>2</v>
      </c>
      <c r="S357">
        <v>5000</v>
      </c>
      <c r="T357"/>
      <c r="U357" s="9"/>
      <c r="V357" s="9"/>
      <c r="W357" s="9"/>
      <c r="X357" s="9"/>
    </row>
    <row r="358" spans="1:24">
      <c r="A358" s="13" t="s">
        <v>19</v>
      </c>
      <c r="B358" s="1"/>
      <c r="C358" s="1" t="s">
        <v>29</v>
      </c>
      <c r="D358" s="3">
        <v>10000</v>
      </c>
      <c r="E358"/>
      <c r="F358"/>
      <c r="G358"/>
      <c r="H358"/>
      <c r="I358"/>
      <c r="J358"/>
      <c r="K358"/>
      <c r="L358"/>
      <c r="M358" s="18" t="s">
        <v>197</v>
      </c>
      <c r="N358" t="s">
        <v>1335</v>
      </c>
      <c r="O358" t="s">
        <v>98</v>
      </c>
      <c r="P358" s="1" t="s">
        <v>612</v>
      </c>
      <c r="Q358" s="13" t="s">
        <v>25</v>
      </c>
      <c r="R358">
        <v>2</v>
      </c>
      <c r="S358">
        <v>5000</v>
      </c>
      <c r="T358"/>
      <c r="U358" s="9"/>
      <c r="V358" s="9"/>
      <c r="W358" s="9"/>
      <c r="X358" s="9"/>
    </row>
    <row r="359" spans="1:24">
      <c r="A359" s="13" t="s">
        <v>19</v>
      </c>
      <c r="B359" s="1"/>
      <c r="C359" s="1" t="s">
        <v>29</v>
      </c>
      <c r="D359" s="3">
        <v>15000</v>
      </c>
      <c r="E359"/>
      <c r="F359"/>
      <c r="G359"/>
      <c r="H359"/>
      <c r="I359"/>
      <c r="J359"/>
      <c r="K359"/>
      <c r="L359"/>
      <c r="M359" s="18" t="s">
        <v>197</v>
      </c>
      <c r="N359" t="s">
        <v>1335</v>
      </c>
      <c r="O359" t="s">
        <v>98</v>
      </c>
      <c r="P359" s="1" t="s">
        <v>613</v>
      </c>
      <c r="Q359" s="13" t="s">
        <v>25</v>
      </c>
      <c r="R359">
        <v>3</v>
      </c>
      <c r="S359">
        <v>5000</v>
      </c>
      <c r="T359"/>
      <c r="U359" s="9"/>
      <c r="V359" s="9"/>
      <c r="W359" s="9"/>
      <c r="X359" s="9"/>
    </row>
    <row r="360" spans="1:24">
      <c r="A360" s="13" t="s">
        <v>19</v>
      </c>
      <c r="B360" s="1"/>
      <c r="C360" s="1" t="s">
        <v>29</v>
      </c>
      <c r="D360" s="3">
        <v>5000</v>
      </c>
      <c r="E360"/>
      <c r="F360"/>
      <c r="G360"/>
      <c r="H360"/>
      <c r="I360"/>
      <c r="J360"/>
      <c r="K360"/>
      <c r="L360"/>
      <c r="M360" s="18" t="s">
        <v>197</v>
      </c>
      <c r="N360" t="s">
        <v>1335</v>
      </c>
      <c r="O360" t="s">
        <v>98</v>
      </c>
      <c r="P360" s="1" t="s">
        <v>614</v>
      </c>
      <c r="Q360" s="13" t="s">
        <v>25</v>
      </c>
      <c r="R360">
        <v>1</v>
      </c>
      <c r="S360">
        <v>5000</v>
      </c>
      <c r="T360"/>
      <c r="U360" s="9"/>
      <c r="V360" s="9"/>
      <c r="W360" s="9"/>
      <c r="X360" s="9"/>
    </row>
    <row r="361" spans="1:24">
      <c r="A361" s="13" t="s">
        <v>19</v>
      </c>
      <c r="B361" s="1"/>
      <c r="C361" s="1" t="s">
        <v>32</v>
      </c>
      <c r="D361" s="3">
        <v>5000</v>
      </c>
      <c r="E361"/>
      <c r="F361"/>
      <c r="G361"/>
      <c r="H361"/>
      <c r="I361"/>
      <c r="J361"/>
      <c r="K361"/>
      <c r="L361"/>
      <c r="M361" s="18" t="s">
        <v>197</v>
      </c>
      <c r="N361" t="s">
        <v>1335</v>
      </c>
      <c r="O361" t="s">
        <v>98</v>
      </c>
      <c r="P361" s="1" t="s">
        <v>615</v>
      </c>
      <c r="Q361" s="13" t="s">
        <v>25</v>
      </c>
      <c r="R361">
        <v>1</v>
      </c>
      <c r="S361">
        <v>5000</v>
      </c>
      <c r="T361"/>
      <c r="U361" s="9"/>
      <c r="V361" s="9"/>
      <c r="W361" s="9"/>
      <c r="X361" s="9"/>
    </row>
    <row r="362" spans="1:24">
      <c r="A362" s="13" t="s">
        <v>19</v>
      </c>
      <c r="B362" s="1"/>
      <c r="C362" s="1" t="s">
        <v>32</v>
      </c>
      <c r="D362" s="3">
        <v>5000</v>
      </c>
      <c r="E362"/>
      <c r="F362"/>
      <c r="G362"/>
      <c r="H362"/>
      <c r="I362"/>
      <c r="J362"/>
      <c r="K362"/>
      <c r="L362"/>
      <c r="M362" s="18" t="s">
        <v>197</v>
      </c>
      <c r="N362" t="s">
        <v>1335</v>
      </c>
      <c r="O362" t="s">
        <v>98</v>
      </c>
      <c r="P362" s="1" t="s">
        <v>616</v>
      </c>
      <c r="Q362" s="13" t="s">
        <v>25</v>
      </c>
      <c r="R362">
        <v>1</v>
      </c>
      <c r="S362">
        <v>5000</v>
      </c>
      <c r="T362"/>
      <c r="U362" s="9"/>
      <c r="V362" s="9"/>
      <c r="W362" s="9"/>
      <c r="X362" s="9"/>
    </row>
    <row r="363" spans="1:24">
      <c r="A363" s="13" t="s">
        <v>19</v>
      </c>
      <c r="B363" s="1"/>
      <c r="C363" s="1" t="s">
        <v>32</v>
      </c>
      <c r="D363" s="3">
        <v>15000</v>
      </c>
      <c r="E363"/>
      <c r="F363"/>
      <c r="G363"/>
      <c r="H363"/>
      <c r="I363"/>
      <c r="J363"/>
      <c r="K363"/>
      <c r="L363"/>
      <c r="M363" s="18" t="s">
        <v>197</v>
      </c>
      <c r="N363" t="s">
        <v>1335</v>
      </c>
      <c r="O363" t="s">
        <v>98</v>
      </c>
      <c r="P363" s="1" t="s">
        <v>617</v>
      </c>
      <c r="Q363" s="13" t="s">
        <v>25</v>
      </c>
      <c r="R363">
        <v>3</v>
      </c>
      <c r="S363">
        <v>5000</v>
      </c>
      <c r="T363"/>
      <c r="U363" s="9"/>
      <c r="V363" s="9"/>
      <c r="W363" s="9"/>
      <c r="X363" s="9"/>
    </row>
    <row r="364" spans="1:24">
      <c r="A364" s="13" t="s">
        <v>19</v>
      </c>
      <c r="B364" s="1"/>
      <c r="C364" s="1" t="s">
        <v>32</v>
      </c>
      <c r="D364" s="3">
        <v>5000</v>
      </c>
      <c r="E364"/>
      <c r="F364"/>
      <c r="G364"/>
      <c r="H364"/>
      <c r="I364"/>
      <c r="J364"/>
      <c r="K364"/>
      <c r="L364"/>
      <c r="M364" s="18" t="s">
        <v>197</v>
      </c>
      <c r="N364" t="s">
        <v>1335</v>
      </c>
      <c r="O364" t="s">
        <v>98</v>
      </c>
      <c r="P364" s="1" t="s">
        <v>618</v>
      </c>
      <c r="Q364" s="13" t="s">
        <v>25</v>
      </c>
      <c r="R364">
        <v>1</v>
      </c>
      <c r="S364">
        <v>5000</v>
      </c>
      <c r="T364"/>
      <c r="U364" s="9"/>
      <c r="V364" s="9"/>
      <c r="W364" s="9"/>
      <c r="X364" s="9"/>
    </row>
    <row r="365" spans="1:24">
      <c r="A365" s="13" t="s">
        <v>19</v>
      </c>
      <c r="B365" s="1"/>
      <c r="C365" s="1" t="s">
        <v>32</v>
      </c>
      <c r="D365" s="3">
        <v>5000</v>
      </c>
      <c r="E365"/>
      <c r="F365"/>
      <c r="G365"/>
      <c r="H365"/>
      <c r="I365"/>
      <c r="J365"/>
      <c r="K365"/>
      <c r="L365"/>
      <c r="M365" s="18" t="s">
        <v>197</v>
      </c>
      <c r="N365" t="s">
        <v>1335</v>
      </c>
      <c r="O365" t="s">
        <v>98</v>
      </c>
      <c r="P365" s="1" t="s">
        <v>619</v>
      </c>
      <c r="Q365" s="13" t="s">
        <v>25</v>
      </c>
      <c r="R365">
        <v>1</v>
      </c>
      <c r="S365">
        <v>5000</v>
      </c>
      <c r="T365"/>
      <c r="U365" s="9"/>
      <c r="V365" s="9"/>
      <c r="W365" s="9"/>
      <c r="X365" s="9"/>
    </row>
    <row r="366" spans="1:24">
      <c r="A366" s="13" t="s">
        <v>19</v>
      </c>
      <c r="B366" s="1"/>
      <c r="C366" s="1" t="s">
        <v>32</v>
      </c>
      <c r="D366" s="3">
        <v>15000</v>
      </c>
      <c r="E366"/>
      <c r="F366"/>
      <c r="G366"/>
      <c r="H366"/>
      <c r="I366"/>
      <c r="J366"/>
      <c r="K366"/>
      <c r="L366"/>
      <c r="M366" s="18" t="s">
        <v>197</v>
      </c>
      <c r="N366" t="s">
        <v>1335</v>
      </c>
      <c r="O366" t="s">
        <v>98</v>
      </c>
      <c r="P366" s="1" t="s">
        <v>620</v>
      </c>
      <c r="Q366" s="13" t="s">
        <v>25</v>
      </c>
      <c r="R366">
        <v>3</v>
      </c>
      <c r="S366">
        <v>5000</v>
      </c>
      <c r="T366"/>
      <c r="U366" s="9"/>
      <c r="V366" s="9"/>
      <c r="W366" s="9"/>
      <c r="X366" s="9"/>
    </row>
    <row r="367" spans="1:24">
      <c r="A367" s="13" t="s">
        <v>19</v>
      </c>
      <c r="B367" s="1"/>
      <c r="C367" s="1" t="s">
        <v>32</v>
      </c>
      <c r="D367" s="3">
        <v>5000</v>
      </c>
      <c r="E367"/>
      <c r="F367"/>
      <c r="G367"/>
      <c r="H367"/>
      <c r="I367"/>
      <c r="J367"/>
      <c r="K367"/>
      <c r="L367"/>
      <c r="M367" s="18" t="s">
        <v>197</v>
      </c>
      <c r="N367" t="s">
        <v>1335</v>
      </c>
      <c r="O367" t="s">
        <v>98</v>
      </c>
      <c r="P367" s="1" t="s">
        <v>621</v>
      </c>
      <c r="Q367" s="13" t="s">
        <v>25</v>
      </c>
      <c r="R367">
        <v>1</v>
      </c>
      <c r="S367">
        <v>5000</v>
      </c>
      <c r="T367"/>
      <c r="U367" s="9"/>
      <c r="V367" s="9"/>
      <c r="W367" s="9"/>
      <c r="X367" s="9"/>
    </row>
    <row r="368" spans="1:24">
      <c r="A368" s="13"/>
      <c r="B368" s="1"/>
      <c r="C368" s="1"/>
      <c r="D368" s="3" t="str">
        <f>SUBTOTAL(9,D346:D367)</f>
        <v>0</v>
      </c>
      <c r="E368"/>
      <c r="F368"/>
      <c r="G368"/>
      <c r="H368"/>
      <c r="I368"/>
      <c r="J368"/>
      <c r="K368"/>
      <c r="L368"/>
      <c r="M368" s="18" t="s">
        <v>198</v>
      </c>
      <c r="N368" t="s">
        <v>1445</v>
      </c>
      <c r="O368" t="s">
        <v>98</v>
      </c>
      <c r="P368" s="1"/>
      <c r="Q368" s="13"/>
      <c r="R368"/>
      <c r="S368"/>
      <c r="T368"/>
      <c r="U368" s="9"/>
      <c r="V368" s="9"/>
      <c r="W368" s="9"/>
      <c r="X368" s="9"/>
    </row>
    <row r="369" spans="1:24">
      <c r="A369" s="13" t="s">
        <v>19</v>
      </c>
      <c r="B369" s="1"/>
      <c r="C369" s="1" t="s">
        <v>26</v>
      </c>
      <c r="D369" s="3">
        <v>23000</v>
      </c>
      <c r="E369"/>
      <c r="F369"/>
      <c r="G369"/>
      <c r="H369"/>
      <c r="I369"/>
      <c r="J369"/>
      <c r="K369"/>
      <c r="L369"/>
      <c r="M369" s="18" t="s">
        <v>199</v>
      </c>
      <c r="N369" t="s">
        <v>1334</v>
      </c>
      <c r="O369" t="s">
        <v>98</v>
      </c>
      <c r="P369" s="1" t="s">
        <v>512</v>
      </c>
      <c r="Q369" s="13" t="s">
        <v>25</v>
      </c>
      <c r="R369">
        <v>1</v>
      </c>
      <c r="S369">
        <v>23000</v>
      </c>
      <c r="T369"/>
      <c r="U369" s="9"/>
      <c r="V369" s="9"/>
      <c r="W369" s="9"/>
      <c r="X369" s="9"/>
    </row>
    <row r="370" spans="1:24">
      <c r="A370" s="13" t="s">
        <v>19</v>
      </c>
      <c r="B370" s="1"/>
      <c r="C370" s="1" t="s">
        <v>26</v>
      </c>
      <c r="D370" s="3">
        <v>23000</v>
      </c>
      <c r="E370"/>
      <c r="F370"/>
      <c r="G370"/>
      <c r="H370"/>
      <c r="I370"/>
      <c r="J370"/>
      <c r="K370"/>
      <c r="L370"/>
      <c r="M370" s="18" t="s">
        <v>199</v>
      </c>
      <c r="N370" t="s">
        <v>1334</v>
      </c>
      <c r="O370" t="s">
        <v>98</v>
      </c>
      <c r="P370" s="1" t="s">
        <v>512</v>
      </c>
      <c r="Q370" s="13" t="s">
        <v>25</v>
      </c>
      <c r="R370">
        <v>1</v>
      </c>
      <c r="S370">
        <v>23000</v>
      </c>
      <c r="T370"/>
      <c r="U370" s="9"/>
      <c r="V370" s="9"/>
      <c r="W370" s="9"/>
      <c r="X370" s="9"/>
    </row>
    <row r="371" spans="1:24">
      <c r="A371" s="13" t="s">
        <v>19</v>
      </c>
      <c r="B371" s="1"/>
      <c r="C371" s="1" t="s">
        <v>26</v>
      </c>
      <c r="D371" s="3">
        <v>23000</v>
      </c>
      <c r="E371"/>
      <c r="F371"/>
      <c r="G371"/>
      <c r="H371"/>
      <c r="I371"/>
      <c r="J371"/>
      <c r="K371"/>
      <c r="L371"/>
      <c r="M371" s="18" t="s">
        <v>199</v>
      </c>
      <c r="N371" t="s">
        <v>1334</v>
      </c>
      <c r="O371" t="s">
        <v>98</v>
      </c>
      <c r="P371" s="1" t="s">
        <v>512</v>
      </c>
      <c r="Q371" s="13" t="s">
        <v>25</v>
      </c>
      <c r="R371">
        <v>1</v>
      </c>
      <c r="S371">
        <v>23000</v>
      </c>
      <c r="T371"/>
      <c r="U371" s="9"/>
      <c r="V371" s="9"/>
      <c r="W371" s="9"/>
      <c r="X371" s="9"/>
    </row>
    <row r="372" spans="1:24">
      <c r="A372" s="13" t="s">
        <v>19</v>
      </c>
      <c r="B372" s="1"/>
      <c r="C372" s="1" t="s">
        <v>26</v>
      </c>
      <c r="D372" s="3">
        <v>23000</v>
      </c>
      <c r="E372"/>
      <c r="F372"/>
      <c r="G372"/>
      <c r="H372"/>
      <c r="I372"/>
      <c r="J372"/>
      <c r="K372"/>
      <c r="L372"/>
      <c r="M372" s="18" t="s">
        <v>199</v>
      </c>
      <c r="N372" t="s">
        <v>1334</v>
      </c>
      <c r="O372" t="s">
        <v>98</v>
      </c>
      <c r="P372" s="1" t="s">
        <v>512</v>
      </c>
      <c r="Q372" s="13" t="s">
        <v>25</v>
      </c>
      <c r="R372">
        <v>1</v>
      </c>
      <c r="S372">
        <v>23000</v>
      </c>
      <c r="T372"/>
      <c r="U372" s="9"/>
      <c r="V372" s="9"/>
      <c r="W372" s="9"/>
      <c r="X372" s="9"/>
    </row>
    <row r="373" spans="1:24">
      <c r="A373" s="13" t="s">
        <v>19</v>
      </c>
      <c r="B373" s="1"/>
      <c r="C373" s="1" t="s">
        <v>26</v>
      </c>
      <c r="D373" s="3">
        <v>23000</v>
      </c>
      <c r="E373"/>
      <c r="F373"/>
      <c r="G373"/>
      <c r="H373"/>
      <c r="I373"/>
      <c r="J373"/>
      <c r="K373"/>
      <c r="L373"/>
      <c r="M373" s="18" t="s">
        <v>199</v>
      </c>
      <c r="N373" t="s">
        <v>1334</v>
      </c>
      <c r="O373" t="s">
        <v>98</v>
      </c>
      <c r="P373" s="1" t="s">
        <v>512</v>
      </c>
      <c r="Q373" s="13" t="s">
        <v>25</v>
      </c>
      <c r="R373">
        <v>1</v>
      </c>
      <c r="S373">
        <v>23000</v>
      </c>
      <c r="T373"/>
      <c r="U373" s="9"/>
      <c r="V373" s="9"/>
      <c r="W373" s="9"/>
      <c r="X373" s="9"/>
    </row>
    <row r="374" spans="1:24">
      <c r="A374" s="13" t="s">
        <v>19</v>
      </c>
      <c r="B374" s="1"/>
      <c r="C374" s="1" t="s">
        <v>26</v>
      </c>
      <c r="D374" s="3">
        <v>23000</v>
      </c>
      <c r="E374"/>
      <c r="F374"/>
      <c r="G374"/>
      <c r="H374"/>
      <c r="I374"/>
      <c r="J374"/>
      <c r="K374"/>
      <c r="L374"/>
      <c r="M374" s="18" t="s">
        <v>199</v>
      </c>
      <c r="N374" t="s">
        <v>1334</v>
      </c>
      <c r="O374" t="s">
        <v>98</v>
      </c>
      <c r="P374" s="1" t="s">
        <v>512</v>
      </c>
      <c r="Q374" s="13" t="s">
        <v>25</v>
      </c>
      <c r="R374">
        <v>1</v>
      </c>
      <c r="S374">
        <v>23000</v>
      </c>
      <c r="T374"/>
      <c r="U374" s="9"/>
      <c r="V374" s="9"/>
      <c r="W374" s="9"/>
      <c r="X374" s="9"/>
    </row>
    <row r="375" spans="1:24">
      <c r="A375" s="13" t="s">
        <v>19</v>
      </c>
      <c r="B375" s="1"/>
      <c r="C375" s="1" t="s">
        <v>26</v>
      </c>
      <c r="D375" s="3">
        <v>23000</v>
      </c>
      <c r="E375"/>
      <c r="F375"/>
      <c r="G375"/>
      <c r="H375"/>
      <c r="I375"/>
      <c r="J375"/>
      <c r="K375"/>
      <c r="L375"/>
      <c r="M375" s="18" t="s">
        <v>199</v>
      </c>
      <c r="N375" t="s">
        <v>1334</v>
      </c>
      <c r="O375" t="s">
        <v>98</v>
      </c>
      <c r="P375" s="1" t="s">
        <v>512</v>
      </c>
      <c r="Q375" s="13" t="s">
        <v>25</v>
      </c>
      <c r="R375">
        <v>1</v>
      </c>
      <c r="S375">
        <v>23000</v>
      </c>
      <c r="T375"/>
      <c r="U375" s="9"/>
      <c r="V375" s="9"/>
      <c r="W375" s="9"/>
      <c r="X375" s="9"/>
    </row>
    <row r="376" spans="1:24">
      <c r="A376" s="13" t="s">
        <v>19</v>
      </c>
      <c r="B376" s="1"/>
      <c r="C376" s="1" t="s">
        <v>26</v>
      </c>
      <c r="D376" s="3">
        <v>23000</v>
      </c>
      <c r="E376"/>
      <c r="F376"/>
      <c r="G376"/>
      <c r="H376"/>
      <c r="I376"/>
      <c r="J376"/>
      <c r="K376"/>
      <c r="L376"/>
      <c r="M376" s="18" t="s">
        <v>199</v>
      </c>
      <c r="N376" t="s">
        <v>1334</v>
      </c>
      <c r="O376" t="s">
        <v>98</v>
      </c>
      <c r="P376" s="1" t="s">
        <v>512</v>
      </c>
      <c r="Q376" s="13" t="s">
        <v>25</v>
      </c>
      <c r="R376">
        <v>1</v>
      </c>
      <c r="S376">
        <v>23000</v>
      </c>
      <c r="T376"/>
      <c r="U376" s="9"/>
      <c r="V376" s="9"/>
      <c r="W376" s="9"/>
      <c r="X376" s="9"/>
    </row>
    <row r="377" spans="1:24">
      <c r="A377" s="13" t="s">
        <v>19</v>
      </c>
      <c r="B377" s="1"/>
      <c r="C377" s="1" t="s">
        <v>26</v>
      </c>
      <c r="D377" s="3">
        <v>23000</v>
      </c>
      <c r="E377"/>
      <c r="F377"/>
      <c r="G377"/>
      <c r="H377"/>
      <c r="I377"/>
      <c r="J377"/>
      <c r="K377"/>
      <c r="L377"/>
      <c r="M377" s="18" t="s">
        <v>199</v>
      </c>
      <c r="N377" t="s">
        <v>1334</v>
      </c>
      <c r="O377" t="s">
        <v>98</v>
      </c>
      <c r="P377" s="1" t="s">
        <v>512</v>
      </c>
      <c r="Q377" s="13" t="s">
        <v>25</v>
      </c>
      <c r="R377">
        <v>1</v>
      </c>
      <c r="S377">
        <v>23000</v>
      </c>
      <c r="T377"/>
      <c r="U377" s="9"/>
      <c r="V377" s="9"/>
      <c r="W377" s="9"/>
      <c r="X377" s="9"/>
    </row>
    <row r="378" spans="1:24">
      <c r="A378" s="13" t="s">
        <v>19</v>
      </c>
      <c r="B378" s="1"/>
      <c r="C378" s="1" t="s">
        <v>26</v>
      </c>
      <c r="D378" s="3">
        <v>23000</v>
      </c>
      <c r="E378"/>
      <c r="F378"/>
      <c r="G378"/>
      <c r="H378"/>
      <c r="I378"/>
      <c r="J378"/>
      <c r="K378"/>
      <c r="L378"/>
      <c r="M378" s="18" t="s">
        <v>199</v>
      </c>
      <c r="N378" t="s">
        <v>1334</v>
      </c>
      <c r="O378" t="s">
        <v>98</v>
      </c>
      <c r="P378" s="1" t="s">
        <v>512</v>
      </c>
      <c r="Q378" s="13" t="s">
        <v>25</v>
      </c>
      <c r="R378">
        <v>1</v>
      </c>
      <c r="S378">
        <v>23000</v>
      </c>
      <c r="T378"/>
      <c r="U378" s="9"/>
      <c r="V378" s="9"/>
      <c r="W378" s="9"/>
      <c r="X378" s="9"/>
    </row>
    <row r="379" spans="1:24">
      <c r="A379" s="13" t="s">
        <v>19</v>
      </c>
      <c r="B379" s="1"/>
      <c r="C379" s="1" t="s">
        <v>26</v>
      </c>
      <c r="D379" s="3">
        <v>23000</v>
      </c>
      <c r="E379"/>
      <c r="F379"/>
      <c r="G379"/>
      <c r="H379"/>
      <c r="I379"/>
      <c r="J379"/>
      <c r="K379"/>
      <c r="L379"/>
      <c r="M379" s="18" t="s">
        <v>199</v>
      </c>
      <c r="N379" t="s">
        <v>1334</v>
      </c>
      <c r="O379" t="s">
        <v>98</v>
      </c>
      <c r="P379" s="1" t="s">
        <v>512</v>
      </c>
      <c r="Q379" s="13" t="s">
        <v>25</v>
      </c>
      <c r="R379">
        <v>1</v>
      </c>
      <c r="S379">
        <v>23000</v>
      </c>
      <c r="T379"/>
      <c r="U379" s="9"/>
      <c r="V379" s="9"/>
      <c r="W379" s="9"/>
      <c r="X379" s="9"/>
    </row>
    <row r="380" spans="1:24">
      <c r="A380" s="13" t="s">
        <v>19</v>
      </c>
      <c r="B380" s="1"/>
      <c r="C380" s="1" t="s">
        <v>26</v>
      </c>
      <c r="D380" s="3">
        <v>46000</v>
      </c>
      <c r="E380"/>
      <c r="F380"/>
      <c r="G380"/>
      <c r="H380"/>
      <c r="I380"/>
      <c r="J380"/>
      <c r="K380"/>
      <c r="L380"/>
      <c r="M380" s="18" t="s">
        <v>199</v>
      </c>
      <c r="N380" t="s">
        <v>1334</v>
      </c>
      <c r="O380" t="s">
        <v>98</v>
      </c>
      <c r="P380" s="1" t="s">
        <v>512</v>
      </c>
      <c r="Q380" s="13" t="s">
        <v>25</v>
      </c>
      <c r="R380">
        <v>2</v>
      </c>
      <c r="S380">
        <v>23000</v>
      </c>
      <c r="T380"/>
      <c r="U380" s="9"/>
      <c r="V380" s="9"/>
      <c r="W380" s="9"/>
      <c r="X380" s="9"/>
    </row>
    <row r="381" spans="1:24">
      <c r="A381" s="13" t="s">
        <v>19</v>
      </c>
      <c r="B381" s="1"/>
      <c r="C381" s="1" t="s">
        <v>26</v>
      </c>
      <c r="D381" s="3">
        <v>28000</v>
      </c>
      <c r="E381"/>
      <c r="F381"/>
      <c r="G381"/>
      <c r="H381"/>
      <c r="I381"/>
      <c r="J381"/>
      <c r="K381"/>
      <c r="L381"/>
      <c r="M381" s="18" t="s">
        <v>199</v>
      </c>
      <c r="N381" t="s">
        <v>1334</v>
      </c>
      <c r="O381" t="s">
        <v>98</v>
      </c>
      <c r="P381" s="1" t="s">
        <v>622</v>
      </c>
      <c r="Q381" s="13" t="s">
        <v>25</v>
      </c>
      <c r="R381">
        <v>1</v>
      </c>
      <c r="S381">
        <v>28000</v>
      </c>
      <c r="T381"/>
      <c r="U381" s="9"/>
      <c r="V381" s="9"/>
      <c r="W381" s="9"/>
      <c r="X381" s="9"/>
    </row>
    <row r="382" spans="1:24">
      <c r="A382" s="13" t="s">
        <v>19</v>
      </c>
      <c r="B382" s="1"/>
      <c r="C382" s="1" t="s">
        <v>26</v>
      </c>
      <c r="D382" s="3">
        <v>56000</v>
      </c>
      <c r="E382"/>
      <c r="F382"/>
      <c r="G382"/>
      <c r="H382"/>
      <c r="I382"/>
      <c r="J382"/>
      <c r="K382"/>
      <c r="L382"/>
      <c r="M382" s="18" t="s">
        <v>199</v>
      </c>
      <c r="N382" t="s">
        <v>1334</v>
      </c>
      <c r="O382" t="s">
        <v>98</v>
      </c>
      <c r="P382" s="1" t="s">
        <v>589</v>
      </c>
      <c r="Q382" s="13" t="s">
        <v>25</v>
      </c>
      <c r="R382">
        <v>2</v>
      </c>
      <c r="S382">
        <v>28000</v>
      </c>
      <c r="T382"/>
      <c r="U382" s="9"/>
      <c r="V382" s="9"/>
      <c r="W382" s="9"/>
      <c r="X382" s="9"/>
    </row>
    <row r="383" spans="1:24">
      <c r="A383" s="13" t="s">
        <v>19</v>
      </c>
      <c r="B383" s="1"/>
      <c r="C383" s="1" t="s">
        <v>26</v>
      </c>
      <c r="D383" s="3">
        <v>28000</v>
      </c>
      <c r="E383"/>
      <c r="F383"/>
      <c r="G383"/>
      <c r="H383"/>
      <c r="I383"/>
      <c r="J383"/>
      <c r="K383"/>
      <c r="L383"/>
      <c r="M383" s="18" t="s">
        <v>199</v>
      </c>
      <c r="N383" t="s">
        <v>1334</v>
      </c>
      <c r="O383" t="s">
        <v>98</v>
      </c>
      <c r="P383" s="1" t="s">
        <v>609</v>
      </c>
      <c r="Q383" s="13" t="s">
        <v>25</v>
      </c>
      <c r="R383">
        <v>1</v>
      </c>
      <c r="S383">
        <v>28000</v>
      </c>
      <c r="T383"/>
      <c r="U383" s="9"/>
      <c r="V383" s="9"/>
      <c r="W383" s="9"/>
      <c r="X383" s="9"/>
    </row>
    <row r="384" spans="1:24">
      <c r="A384" s="13" t="s">
        <v>19</v>
      </c>
      <c r="B384" s="1"/>
      <c r="C384" s="1" t="s">
        <v>26</v>
      </c>
      <c r="D384" s="3">
        <v>28000</v>
      </c>
      <c r="E384"/>
      <c r="F384"/>
      <c r="G384"/>
      <c r="H384"/>
      <c r="I384"/>
      <c r="J384"/>
      <c r="K384"/>
      <c r="L384"/>
      <c r="M384" s="18" t="s">
        <v>199</v>
      </c>
      <c r="N384" t="s">
        <v>1334</v>
      </c>
      <c r="O384" t="s">
        <v>98</v>
      </c>
      <c r="P384" s="1" t="s">
        <v>623</v>
      </c>
      <c r="Q384" s="13" t="s">
        <v>25</v>
      </c>
      <c r="R384">
        <v>1</v>
      </c>
      <c r="S384">
        <v>28000</v>
      </c>
      <c r="T384"/>
      <c r="U384" s="9"/>
      <c r="V384" s="9"/>
      <c r="W384" s="9"/>
      <c r="X384" s="9"/>
    </row>
    <row r="385" spans="1:24">
      <c r="A385" s="13" t="s">
        <v>19</v>
      </c>
      <c r="B385" s="1"/>
      <c r="C385" s="1" t="s">
        <v>26</v>
      </c>
      <c r="D385" s="3">
        <v>28000</v>
      </c>
      <c r="E385"/>
      <c r="F385"/>
      <c r="G385"/>
      <c r="H385"/>
      <c r="I385"/>
      <c r="J385"/>
      <c r="K385"/>
      <c r="L385"/>
      <c r="M385" s="18" t="s">
        <v>199</v>
      </c>
      <c r="N385" t="s">
        <v>1334</v>
      </c>
      <c r="O385" t="s">
        <v>98</v>
      </c>
      <c r="P385" s="1" t="s">
        <v>611</v>
      </c>
      <c r="Q385" s="13" t="s">
        <v>25</v>
      </c>
      <c r="R385">
        <v>1</v>
      </c>
      <c r="S385">
        <v>28000</v>
      </c>
      <c r="T385"/>
      <c r="U385" s="9"/>
      <c r="V385" s="9"/>
      <c r="W385" s="9"/>
      <c r="X385" s="9"/>
    </row>
    <row r="386" spans="1:24">
      <c r="A386" s="13" t="s">
        <v>19</v>
      </c>
      <c r="B386" s="1"/>
      <c r="C386" s="1" t="s">
        <v>26</v>
      </c>
      <c r="D386" s="3">
        <v>56000</v>
      </c>
      <c r="E386"/>
      <c r="F386"/>
      <c r="G386"/>
      <c r="H386"/>
      <c r="I386"/>
      <c r="J386"/>
      <c r="K386"/>
      <c r="L386"/>
      <c r="M386" s="18" t="s">
        <v>199</v>
      </c>
      <c r="N386" t="s">
        <v>1334</v>
      </c>
      <c r="O386" t="s">
        <v>98</v>
      </c>
      <c r="P386" s="1" t="s">
        <v>608</v>
      </c>
      <c r="Q386" s="13" t="s">
        <v>25</v>
      </c>
      <c r="R386">
        <v>2</v>
      </c>
      <c r="S386">
        <v>28000</v>
      </c>
      <c r="T386"/>
      <c r="U386" s="9"/>
      <c r="V386" s="9"/>
      <c r="W386" s="9"/>
      <c r="X386" s="9"/>
    </row>
    <row r="387" spans="1:24">
      <c r="A387" s="13" t="s">
        <v>19</v>
      </c>
      <c r="B387" s="1"/>
      <c r="C387" s="1" t="s">
        <v>26</v>
      </c>
      <c r="D387" s="3">
        <v>28000</v>
      </c>
      <c r="E387"/>
      <c r="F387"/>
      <c r="G387"/>
      <c r="H387"/>
      <c r="I387"/>
      <c r="J387"/>
      <c r="K387"/>
      <c r="L387"/>
      <c r="M387" s="18" t="s">
        <v>199</v>
      </c>
      <c r="N387" t="s">
        <v>1334</v>
      </c>
      <c r="O387" t="s">
        <v>98</v>
      </c>
      <c r="P387" s="1" t="s">
        <v>624</v>
      </c>
      <c r="Q387" s="13" t="s">
        <v>25</v>
      </c>
      <c r="R387">
        <v>1</v>
      </c>
      <c r="S387">
        <v>28000</v>
      </c>
      <c r="T387"/>
      <c r="U387" s="9"/>
      <c r="V387" s="9"/>
      <c r="W387" s="9"/>
      <c r="X387" s="9"/>
    </row>
    <row r="388" spans="1:24">
      <c r="A388" s="13" t="s">
        <v>19</v>
      </c>
      <c r="B388" s="1"/>
      <c r="C388" s="1" t="s">
        <v>26</v>
      </c>
      <c r="D388" s="3">
        <v>28000</v>
      </c>
      <c r="E388"/>
      <c r="F388"/>
      <c r="G388"/>
      <c r="H388"/>
      <c r="I388"/>
      <c r="J388"/>
      <c r="K388"/>
      <c r="L388"/>
      <c r="M388" s="18" t="s">
        <v>199</v>
      </c>
      <c r="N388" t="s">
        <v>1334</v>
      </c>
      <c r="O388" t="s">
        <v>98</v>
      </c>
      <c r="P388" s="1" t="s">
        <v>623</v>
      </c>
      <c r="Q388" s="13" t="s">
        <v>25</v>
      </c>
      <c r="R388">
        <v>1</v>
      </c>
      <c r="S388">
        <v>28000</v>
      </c>
      <c r="T388"/>
      <c r="U388" s="9"/>
      <c r="V388" s="9"/>
      <c r="W388" s="9"/>
      <c r="X388" s="9"/>
    </row>
    <row r="389" spans="1:24">
      <c r="A389" s="13" t="s">
        <v>19</v>
      </c>
      <c r="B389" s="1"/>
      <c r="C389" s="1" t="s">
        <v>26</v>
      </c>
      <c r="D389" s="3">
        <v>28000</v>
      </c>
      <c r="E389"/>
      <c r="F389"/>
      <c r="G389"/>
      <c r="H389"/>
      <c r="I389"/>
      <c r="J389"/>
      <c r="K389"/>
      <c r="L389"/>
      <c r="M389" s="18" t="s">
        <v>199</v>
      </c>
      <c r="N389" t="s">
        <v>1334</v>
      </c>
      <c r="O389" t="s">
        <v>98</v>
      </c>
      <c r="P389" s="1" t="s">
        <v>625</v>
      </c>
      <c r="Q389" s="13" t="s">
        <v>25</v>
      </c>
      <c r="R389">
        <v>1</v>
      </c>
      <c r="S389">
        <v>28000</v>
      </c>
      <c r="T389"/>
      <c r="U389" s="9"/>
      <c r="V389" s="9"/>
      <c r="W389" s="9"/>
      <c r="X389" s="9"/>
    </row>
    <row r="390" spans="1:24">
      <c r="A390" s="13" t="s">
        <v>19</v>
      </c>
      <c r="B390" s="1"/>
      <c r="C390" s="1" t="s">
        <v>26</v>
      </c>
      <c r="D390" s="3">
        <v>23000</v>
      </c>
      <c r="E390"/>
      <c r="F390"/>
      <c r="G390"/>
      <c r="H390"/>
      <c r="I390"/>
      <c r="J390"/>
      <c r="K390"/>
      <c r="L390"/>
      <c r="M390" s="18" t="s">
        <v>199</v>
      </c>
      <c r="N390" t="s">
        <v>1334</v>
      </c>
      <c r="O390" t="s">
        <v>98</v>
      </c>
      <c r="P390" s="1" t="s">
        <v>624</v>
      </c>
      <c r="Q390" s="13" t="s">
        <v>25</v>
      </c>
      <c r="R390">
        <v>1</v>
      </c>
      <c r="S390">
        <v>23000</v>
      </c>
      <c r="T390"/>
      <c r="U390" s="9"/>
      <c r="V390" s="9"/>
      <c r="W390" s="9"/>
      <c r="X390" s="9"/>
    </row>
    <row r="391" spans="1:24">
      <c r="A391" s="13" t="s">
        <v>19</v>
      </c>
      <c r="B391" s="1"/>
      <c r="C391" s="1" t="s">
        <v>26</v>
      </c>
      <c r="D391" s="3">
        <v>23000</v>
      </c>
      <c r="E391"/>
      <c r="F391"/>
      <c r="G391"/>
      <c r="H391"/>
      <c r="I391"/>
      <c r="J391"/>
      <c r="K391"/>
      <c r="L391"/>
      <c r="M391" s="18" t="s">
        <v>199</v>
      </c>
      <c r="N391" t="s">
        <v>1334</v>
      </c>
      <c r="O391" t="s">
        <v>98</v>
      </c>
      <c r="P391" s="1" t="s">
        <v>626</v>
      </c>
      <c r="Q391" s="13" t="s">
        <v>25</v>
      </c>
      <c r="R391">
        <v>1</v>
      </c>
      <c r="S391">
        <v>23000</v>
      </c>
      <c r="T391"/>
      <c r="U391" s="9"/>
      <c r="V391" s="9"/>
      <c r="W391" s="9"/>
      <c r="X391" s="9"/>
    </row>
    <row r="392" spans="1:24">
      <c r="A392" s="13" t="s">
        <v>19</v>
      </c>
      <c r="B392" s="1"/>
      <c r="C392" s="1" t="s">
        <v>32</v>
      </c>
      <c r="D392" s="3">
        <v>5000</v>
      </c>
      <c r="E392"/>
      <c r="F392"/>
      <c r="G392"/>
      <c r="H392"/>
      <c r="I392"/>
      <c r="J392"/>
      <c r="K392"/>
      <c r="L392"/>
      <c r="M392" s="18" t="s">
        <v>199</v>
      </c>
      <c r="N392" t="s">
        <v>1334</v>
      </c>
      <c r="O392" t="s">
        <v>98</v>
      </c>
      <c r="P392" s="1" t="s">
        <v>515</v>
      </c>
      <c r="Q392" s="13" t="s">
        <v>25</v>
      </c>
      <c r="R392">
        <v>1</v>
      </c>
      <c r="S392">
        <v>5000</v>
      </c>
      <c r="T392"/>
      <c r="U392" s="9"/>
      <c r="V392" s="9"/>
      <c r="W392" s="9"/>
      <c r="X392" s="9"/>
    </row>
    <row r="393" spans="1:24">
      <c r="A393" s="13" t="s">
        <v>19</v>
      </c>
      <c r="B393" s="1"/>
      <c r="C393" s="1" t="s">
        <v>32</v>
      </c>
      <c r="D393" s="3">
        <v>5000</v>
      </c>
      <c r="E393"/>
      <c r="F393"/>
      <c r="G393"/>
      <c r="H393"/>
      <c r="I393"/>
      <c r="J393"/>
      <c r="K393"/>
      <c r="L393"/>
      <c r="M393" s="18" t="s">
        <v>199</v>
      </c>
      <c r="N393" t="s">
        <v>1334</v>
      </c>
      <c r="O393" t="s">
        <v>98</v>
      </c>
      <c r="P393" s="1" t="s">
        <v>515</v>
      </c>
      <c r="Q393" s="13" t="s">
        <v>25</v>
      </c>
      <c r="R393">
        <v>1</v>
      </c>
      <c r="S393">
        <v>5000</v>
      </c>
      <c r="T393"/>
      <c r="U393" s="9"/>
      <c r="V393" s="9"/>
      <c r="W393" s="9"/>
      <c r="X393" s="9"/>
    </row>
    <row r="394" spans="1:24">
      <c r="A394" s="13" t="s">
        <v>19</v>
      </c>
      <c r="B394" s="1"/>
      <c r="C394" s="1" t="s">
        <v>32</v>
      </c>
      <c r="D394" s="3">
        <v>5000</v>
      </c>
      <c r="E394"/>
      <c r="F394"/>
      <c r="G394"/>
      <c r="H394"/>
      <c r="I394"/>
      <c r="J394"/>
      <c r="K394"/>
      <c r="L394"/>
      <c r="M394" s="18" t="s">
        <v>199</v>
      </c>
      <c r="N394" t="s">
        <v>1334</v>
      </c>
      <c r="O394" t="s">
        <v>98</v>
      </c>
      <c r="P394" s="1" t="s">
        <v>515</v>
      </c>
      <c r="Q394" s="13" t="s">
        <v>25</v>
      </c>
      <c r="R394">
        <v>1</v>
      </c>
      <c r="S394">
        <v>5000</v>
      </c>
      <c r="T394"/>
      <c r="U394" s="9"/>
      <c r="V394" s="9"/>
      <c r="W394" s="9"/>
      <c r="X394" s="9"/>
    </row>
    <row r="395" spans="1:24">
      <c r="A395" s="13" t="s">
        <v>19</v>
      </c>
      <c r="B395" s="1"/>
      <c r="C395" s="1" t="s">
        <v>32</v>
      </c>
      <c r="D395" s="3">
        <v>5000</v>
      </c>
      <c r="E395"/>
      <c r="F395"/>
      <c r="G395"/>
      <c r="H395"/>
      <c r="I395"/>
      <c r="J395"/>
      <c r="K395"/>
      <c r="L395"/>
      <c r="M395" s="18" t="s">
        <v>199</v>
      </c>
      <c r="N395" t="s">
        <v>1334</v>
      </c>
      <c r="O395" t="s">
        <v>98</v>
      </c>
      <c r="P395" s="1" t="s">
        <v>515</v>
      </c>
      <c r="Q395" s="13" t="s">
        <v>25</v>
      </c>
      <c r="R395">
        <v>1</v>
      </c>
      <c r="S395">
        <v>5000</v>
      </c>
      <c r="T395"/>
      <c r="U395" s="9"/>
      <c r="V395" s="9"/>
      <c r="W395" s="9"/>
      <c r="X395" s="9"/>
    </row>
    <row r="396" spans="1:24">
      <c r="A396" s="13" t="s">
        <v>19</v>
      </c>
      <c r="B396" s="1"/>
      <c r="C396" s="1" t="s">
        <v>32</v>
      </c>
      <c r="D396" s="3">
        <v>5000</v>
      </c>
      <c r="E396"/>
      <c r="F396"/>
      <c r="G396"/>
      <c r="H396"/>
      <c r="I396"/>
      <c r="J396"/>
      <c r="K396"/>
      <c r="L396"/>
      <c r="M396" s="18" t="s">
        <v>199</v>
      </c>
      <c r="N396" t="s">
        <v>1334</v>
      </c>
      <c r="O396" t="s">
        <v>98</v>
      </c>
      <c r="P396" s="1" t="s">
        <v>515</v>
      </c>
      <c r="Q396" s="13" t="s">
        <v>25</v>
      </c>
      <c r="R396">
        <v>1</v>
      </c>
      <c r="S396">
        <v>5000</v>
      </c>
      <c r="T396"/>
      <c r="U396" s="9"/>
      <c r="V396" s="9"/>
      <c r="W396" s="9"/>
      <c r="X396" s="9"/>
    </row>
    <row r="397" spans="1:24">
      <c r="A397" s="13" t="s">
        <v>19</v>
      </c>
      <c r="B397" s="1"/>
      <c r="C397" s="1" t="s">
        <v>32</v>
      </c>
      <c r="D397" s="3">
        <v>5000</v>
      </c>
      <c r="E397"/>
      <c r="F397"/>
      <c r="G397"/>
      <c r="H397"/>
      <c r="I397"/>
      <c r="J397"/>
      <c r="K397"/>
      <c r="L397"/>
      <c r="M397" s="18" t="s">
        <v>199</v>
      </c>
      <c r="N397" t="s">
        <v>1334</v>
      </c>
      <c r="O397" t="s">
        <v>98</v>
      </c>
      <c r="P397" s="1" t="s">
        <v>515</v>
      </c>
      <c r="Q397" s="13" t="s">
        <v>25</v>
      </c>
      <c r="R397">
        <v>1</v>
      </c>
      <c r="S397">
        <v>5000</v>
      </c>
      <c r="T397"/>
      <c r="U397" s="9"/>
      <c r="V397" s="9"/>
      <c r="W397" s="9"/>
      <c r="X397" s="9"/>
    </row>
    <row r="398" spans="1:24">
      <c r="A398" s="13" t="s">
        <v>19</v>
      </c>
      <c r="B398" s="1"/>
      <c r="C398" s="1" t="s">
        <v>32</v>
      </c>
      <c r="D398" s="3">
        <v>5000</v>
      </c>
      <c r="E398"/>
      <c r="F398"/>
      <c r="G398"/>
      <c r="H398"/>
      <c r="I398"/>
      <c r="J398"/>
      <c r="K398"/>
      <c r="L398"/>
      <c r="M398" s="18" t="s">
        <v>199</v>
      </c>
      <c r="N398" t="s">
        <v>1334</v>
      </c>
      <c r="O398" t="s">
        <v>98</v>
      </c>
      <c r="P398" s="1" t="s">
        <v>515</v>
      </c>
      <c r="Q398" s="13" t="s">
        <v>25</v>
      </c>
      <c r="R398">
        <v>1</v>
      </c>
      <c r="S398">
        <v>5000</v>
      </c>
      <c r="T398"/>
      <c r="U398" s="9"/>
      <c r="V398" s="9"/>
      <c r="W398" s="9"/>
      <c r="X398" s="9"/>
    </row>
    <row r="399" spans="1:24">
      <c r="A399" s="13" t="s">
        <v>19</v>
      </c>
      <c r="B399" s="1"/>
      <c r="C399" s="1" t="s">
        <v>32</v>
      </c>
      <c r="D399" s="3">
        <v>5000</v>
      </c>
      <c r="E399"/>
      <c r="F399"/>
      <c r="G399"/>
      <c r="H399"/>
      <c r="I399"/>
      <c r="J399"/>
      <c r="K399"/>
      <c r="L399"/>
      <c r="M399" s="18" t="s">
        <v>199</v>
      </c>
      <c r="N399" t="s">
        <v>1334</v>
      </c>
      <c r="O399" t="s">
        <v>98</v>
      </c>
      <c r="P399" s="1" t="s">
        <v>515</v>
      </c>
      <c r="Q399" s="13" t="s">
        <v>25</v>
      </c>
      <c r="R399">
        <v>1</v>
      </c>
      <c r="S399">
        <v>5000</v>
      </c>
      <c r="T399"/>
      <c r="U399" s="9"/>
      <c r="V399" s="9"/>
      <c r="W399" s="9"/>
      <c r="X399" s="9"/>
    </row>
    <row r="400" spans="1:24">
      <c r="A400" s="13" t="s">
        <v>19</v>
      </c>
      <c r="B400" s="1"/>
      <c r="C400" s="1" t="s">
        <v>32</v>
      </c>
      <c r="D400" s="3">
        <v>5000</v>
      </c>
      <c r="E400"/>
      <c r="F400"/>
      <c r="G400"/>
      <c r="H400"/>
      <c r="I400"/>
      <c r="J400"/>
      <c r="K400"/>
      <c r="L400"/>
      <c r="M400" s="18" t="s">
        <v>199</v>
      </c>
      <c r="N400" t="s">
        <v>1334</v>
      </c>
      <c r="O400" t="s">
        <v>98</v>
      </c>
      <c r="P400" s="1" t="s">
        <v>515</v>
      </c>
      <c r="Q400" s="13" t="s">
        <v>25</v>
      </c>
      <c r="R400">
        <v>1</v>
      </c>
      <c r="S400">
        <v>5000</v>
      </c>
      <c r="T400"/>
      <c r="U400" s="9"/>
      <c r="V400" s="9"/>
      <c r="W400" s="9"/>
      <c r="X400" s="9"/>
    </row>
    <row r="401" spans="1:24">
      <c r="A401" s="13" t="s">
        <v>19</v>
      </c>
      <c r="B401" s="1"/>
      <c r="C401" s="1" t="s">
        <v>32</v>
      </c>
      <c r="D401" s="3">
        <v>5000</v>
      </c>
      <c r="E401"/>
      <c r="F401"/>
      <c r="G401"/>
      <c r="H401"/>
      <c r="I401"/>
      <c r="J401"/>
      <c r="K401"/>
      <c r="L401"/>
      <c r="M401" s="18" t="s">
        <v>199</v>
      </c>
      <c r="N401" t="s">
        <v>1334</v>
      </c>
      <c r="O401" t="s">
        <v>98</v>
      </c>
      <c r="P401" s="1" t="s">
        <v>515</v>
      </c>
      <c r="Q401" s="13" t="s">
        <v>25</v>
      </c>
      <c r="R401">
        <v>1</v>
      </c>
      <c r="S401">
        <v>5000</v>
      </c>
      <c r="T401"/>
      <c r="U401" s="9"/>
      <c r="V401" s="9"/>
      <c r="W401" s="9"/>
      <c r="X401" s="9"/>
    </row>
    <row r="402" spans="1:24">
      <c r="A402" s="13" t="s">
        <v>19</v>
      </c>
      <c r="B402" s="1"/>
      <c r="C402" s="1" t="s">
        <v>32</v>
      </c>
      <c r="D402" s="3">
        <v>5000</v>
      </c>
      <c r="E402"/>
      <c r="F402"/>
      <c r="G402"/>
      <c r="H402"/>
      <c r="I402"/>
      <c r="J402"/>
      <c r="K402"/>
      <c r="L402"/>
      <c r="M402" s="18" t="s">
        <v>199</v>
      </c>
      <c r="N402" t="s">
        <v>1334</v>
      </c>
      <c r="O402" t="s">
        <v>98</v>
      </c>
      <c r="P402" s="1" t="s">
        <v>515</v>
      </c>
      <c r="Q402" s="13" t="s">
        <v>25</v>
      </c>
      <c r="R402">
        <v>1</v>
      </c>
      <c r="S402">
        <v>5000</v>
      </c>
      <c r="T402"/>
      <c r="U402" s="9"/>
      <c r="V402" s="9"/>
      <c r="W402" s="9"/>
      <c r="X402" s="9"/>
    </row>
    <row r="403" spans="1:24">
      <c r="A403" s="13" t="s">
        <v>19</v>
      </c>
      <c r="B403" s="1"/>
      <c r="C403" s="1" t="s">
        <v>32</v>
      </c>
      <c r="D403" s="3">
        <v>10000</v>
      </c>
      <c r="E403"/>
      <c r="F403"/>
      <c r="G403"/>
      <c r="H403"/>
      <c r="I403"/>
      <c r="J403"/>
      <c r="K403"/>
      <c r="L403"/>
      <c r="M403" s="18" t="s">
        <v>199</v>
      </c>
      <c r="N403" t="s">
        <v>1334</v>
      </c>
      <c r="O403" t="s">
        <v>98</v>
      </c>
      <c r="P403" s="1" t="s">
        <v>515</v>
      </c>
      <c r="Q403" s="13" t="s">
        <v>25</v>
      </c>
      <c r="R403">
        <v>2</v>
      </c>
      <c r="S403">
        <v>5000</v>
      </c>
      <c r="T403"/>
      <c r="U403" s="9"/>
      <c r="V403" s="9"/>
      <c r="W403" s="9"/>
      <c r="X403" s="9"/>
    </row>
    <row r="404" spans="1:24">
      <c r="A404" s="13" t="s">
        <v>19</v>
      </c>
      <c r="B404" s="1"/>
      <c r="C404" s="1" t="s">
        <v>32</v>
      </c>
      <c r="D404" s="3">
        <v>5000</v>
      </c>
      <c r="E404"/>
      <c r="F404"/>
      <c r="G404"/>
      <c r="H404"/>
      <c r="I404"/>
      <c r="J404"/>
      <c r="K404"/>
      <c r="L404"/>
      <c r="M404" s="18" t="s">
        <v>199</v>
      </c>
      <c r="N404" t="s">
        <v>1334</v>
      </c>
      <c r="O404" t="s">
        <v>98</v>
      </c>
      <c r="P404" s="1" t="s">
        <v>627</v>
      </c>
      <c r="Q404" s="13" t="s">
        <v>25</v>
      </c>
      <c r="R404">
        <v>1</v>
      </c>
      <c r="S404">
        <v>5000</v>
      </c>
      <c r="T404"/>
      <c r="U404" s="9"/>
      <c r="V404" s="9"/>
      <c r="W404" s="9"/>
      <c r="X404" s="9"/>
    </row>
    <row r="405" spans="1:24">
      <c r="A405" s="13" t="s">
        <v>19</v>
      </c>
      <c r="B405" s="1"/>
      <c r="C405" s="1" t="s">
        <v>32</v>
      </c>
      <c r="D405" s="3">
        <v>10000</v>
      </c>
      <c r="E405"/>
      <c r="F405"/>
      <c r="G405"/>
      <c r="H405"/>
      <c r="I405"/>
      <c r="J405"/>
      <c r="K405"/>
      <c r="L405"/>
      <c r="M405" s="18" t="s">
        <v>199</v>
      </c>
      <c r="N405" t="s">
        <v>1334</v>
      </c>
      <c r="O405" t="s">
        <v>98</v>
      </c>
      <c r="P405" s="1" t="s">
        <v>600</v>
      </c>
      <c r="Q405" s="13" t="s">
        <v>25</v>
      </c>
      <c r="R405">
        <v>2</v>
      </c>
      <c r="S405">
        <v>5000</v>
      </c>
      <c r="T405"/>
      <c r="U405" s="9"/>
      <c r="V405" s="9"/>
      <c r="W405" s="9"/>
      <c r="X405" s="9"/>
    </row>
    <row r="406" spans="1:24">
      <c r="A406" s="13" t="s">
        <v>19</v>
      </c>
      <c r="B406" s="1"/>
      <c r="C406" s="1" t="s">
        <v>32</v>
      </c>
      <c r="D406" s="3">
        <v>5000</v>
      </c>
      <c r="E406"/>
      <c r="F406"/>
      <c r="G406"/>
      <c r="H406"/>
      <c r="I406"/>
      <c r="J406"/>
      <c r="K406"/>
      <c r="L406"/>
      <c r="M406" s="18" t="s">
        <v>199</v>
      </c>
      <c r="N406" t="s">
        <v>1334</v>
      </c>
      <c r="O406" t="s">
        <v>98</v>
      </c>
      <c r="P406" s="1" t="s">
        <v>619</v>
      </c>
      <c r="Q406" s="13" t="s">
        <v>25</v>
      </c>
      <c r="R406">
        <v>1</v>
      </c>
      <c r="S406">
        <v>5000</v>
      </c>
      <c r="T406"/>
      <c r="U406" s="9"/>
      <c r="V406" s="9"/>
      <c r="W406" s="9"/>
      <c r="X406" s="9"/>
    </row>
    <row r="407" spans="1:24">
      <c r="A407" s="13" t="s">
        <v>19</v>
      </c>
      <c r="B407" s="1"/>
      <c r="C407" s="1" t="s">
        <v>32</v>
      </c>
      <c r="D407" s="3">
        <v>5000</v>
      </c>
      <c r="E407"/>
      <c r="F407"/>
      <c r="G407"/>
      <c r="H407"/>
      <c r="I407"/>
      <c r="J407"/>
      <c r="K407"/>
      <c r="L407"/>
      <c r="M407" s="18" t="s">
        <v>199</v>
      </c>
      <c r="N407" t="s">
        <v>1334</v>
      </c>
      <c r="O407" t="s">
        <v>98</v>
      </c>
      <c r="P407" s="1" t="s">
        <v>628</v>
      </c>
      <c r="Q407" s="13" t="s">
        <v>25</v>
      </c>
      <c r="R407">
        <v>1</v>
      </c>
      <c r="S407">
        <v>5000</v>
      </c>
      <c r="T407"/>
      <c r="U407" s="9"/>
      <c r="V407" s="9"/>
      <c r="W407" s="9"/>
      <c r="X407" s="9"/>
    </row>
    <row r="408" spans="1:24">
      <c r="A408" s="13" t="s">
        <v>19</v>
      </c>
      <c r="B408" s="1"/>
      <c r="C408" s="1" t="s">
        <v>32</v>
      </c>
      <c r="D408" s="3">
        <v>5000</v>
      </c>
      <c r="E408"/>
      <c r="F408"/>
      <c r="G408"/>
      <c r="H408"/>
      <c r="I408"/>
      <c r="J408"/>
      <c r="K408"/>
      <c r="L408"/>
      <c r="M408" s="18" t="s">
        <v>199</v>
      </c>
      <c r="N408" t="s">
        <v>1334</v>
      </c>
      <c r="O408" t="s">
        <v>98</v>
      </c>
      <c r="P408" s="1" t="s">
        <v>621</v>
      </c>
      <c r="Q408" s="13" t="s">
        <v>25</v>
      </c>
      <c r="R408">
        <v>1</v>
      </c>
      <c r="S408">
        <v>5000</v>
      </c>
      <c r="T408"/>
      <c r="U408" s="9"/>
      <c r="V408" s="9"/>
      <c r="W408" s="9"/>
      <c r="X408" s="9"/>
    </row>
    <row r="409" spans="1:24">
      <c r="A409" s="13" t="s">
        <v>19</v>
      </c>
      <c r="B409" s="1"/>
      <c r="C409" s="1" t="s">
        <v>32</v>
      </c>
      <c r="D409" s="3">
        <v>10000</v>
      </c>
      <c r="E409"/>
      <c r="F409"/>
      <c r="G409"/>
      <c r="H409"/>
      <c r="I409"/>
      <c r="J409"/>
      <c r="K409"/>
      <c r="L409"/>
      <c r="M409" s="18" t="s">
        <v>199</v>
      </c>
      <c r="N409" t="s">
        <v>1334</v>
      </c>
      <c r="O409" t="s">
        <v>98</v>
      </c>
      <c r="P409" s="1" t="s">
        <v>618</v>
      </c>
      <c r="Q409" s="13" t="s">
        <v>25</v>
      </c>
      <c r="R409">
        <v>2</v>
      </c>
      <c r="S409">
        <v>5000</v>
      </c>
      <c r="T409"/>
      <c r="U409" s="9"/>
      <c r="V409" s="9"/>
      <c r="W409" s="9"/>
      <c r="X409" s="9"/>
    </row>
    <row r="410" spans="1:24">
      <c r="A410" s="13" t="s">
        <v>19</v>
      </c>
      <c r="B410" s="1"/>
      <c r="C410" s="1" t="s">
        <v>32</v>
      </c>
      <c r="D410" s="3">
        <v>5000</v>
      </c>
      <c r="E410"/>
      <c r="F410"/>
      <c r="G410"/>
      <c r="H410"/>
      <c r="I410"/>
      <c r="J410"/>
      <c r="K410"/>
      <c r="L410"/>
      <c r="M410" s="18" t="s">
        <v>199</v>
      </c>
      <c r="N410" t="s">
        <v>1334</v>
      </c>
      <c r="O410" t="s">
        <v>98</v>
      </c>
      <c r="P410" s="1" t="s">
        <v>629</v>
      </c>
      <c r="Q410" s="13" t="s">
        <v>25</v>
      </c>
      <c r="R410">
        <v>1</v>
      </c>
      <c r="S410">
        <v>5000</v>
      </c>
      <c r="T410"/>
      <c r="U410" s="9"/>
      <c r="V410" s="9"/>
      <c r="W410" s="9"/>
      <c r="X410" s="9"/>
    </row>
    <row r="411" spans="1:24">
      <c r="A411" s="13" t="s">
        <v>19</v>
      </c>
      <c r="B411" s="1"/>
      <c r="C411" s="1" t="s">
        <v>32</v>
      </c>
      <c r="D411" s="3">
        <v>5000</v>
      </c>
      <c r="E411"/>
      <c r="F411"/>
      <c r="G411"/>
      <c r="H411"/>
      <c r="I411"/>
      <c r="J411"/>
      <c r="K411"/>
      <c r="L411"/>
      <c r="M411" s="18" t="s">
        <v>199</v>
      </c>
      <c r="N411" t="s">
        <v>1334</v>
      </c>
      <c r="O411" t="s">
        <v>98</v>
      </c>
      <c r="P411" s="1" t="s">
        <v>628</v>
      </c>
      <c r="Q411" s="13" t="s">
        <v>25</v>
      </c>
      <c r="R411">
        <v>1</v>
      </c>
      <c r="S411">
        <v>5000</v>
      </c>
      <c r="T411"/>
      <c r="U411" s="9"/>
      <c r="V411" s="9"/>
      <c r="W411" s="9"/>
      <c r="X411" s="9"/>
    </row>
    <row r="412" spans="1:24">
      <c r="A412" s="13" t="s">
        <v>19</v>
      </c>
      <c r="B412" s="1"/>
      <c r="C412" s="1" t="s">
        <v>32</v>
      </c>
      <c r="D412" s="3">
        <v>5000</v>
      </c>
      <c r="E412"/>
      <c r="F412"/>
      <c r="G412"/>
      <c r="H412"/>
      <c r="I412"/>
      <c r="J412"/>
      <c r="K412"/>
      <c r="L412"/>
      <c r="M412" s="18" t="s">
        <v>199</v>
      </c>
      <c r="N412" t="s">
        <v>1334</v>
      </c>
      <c r="O412" t="s">
        <v>98</v>
      </c>
      <c r="P412" s="1" t="s">
        <v>630</v>
      </c>
      <c r="Q412" s="13" t="s">
        <v>25</v>
      </c>
      <c r="R412">
        <v>1</v>
      </c>
      <c r="S412">
        <v>5000</v>
      </c>
      <c r="T412"/>
      <c r="U412" s="9"/>
      <c r="V412" s="9"/>
      <c r="W412" s="9"/>
      <c r="X412" s="9"/>
    </row>
    <row r="413" spans="1:24">
      <c r="A413" s="13" t="s">
        <v>19</v>
      </c>
      <c r="B413" s="1"/>
      <c r="C413" s="1" t="s">
        <v>32</v>
      </c>
      <c r="D413" s="3">
        <v>5000</v>
      </c>
      <c r="E413"/>
      <c r="F413"/>
      <c r="G413"/>
      <c r="H413"/>
      <c r="I413"/>
      <c r="J413"/>
      <c r="K413"/>
      <c r="L413"/>
      <c r="M413" s="18" t="s">
        <v>199</v>
      </c>
      <c r="N413" t="s">
        <v>1334</v>
      </c>
      <c r="O413" t="s">
        <v>98</v>
      </c>
      <c r="P413" s="1" t="s">
        <v>629</v>
      </c>
      <c r="Q413" s="13" t="s">
        <v>25</v>
      </c>
      <c r="R413">
        <v>1</v>
      </c>
      <c r="S413">
        <v>5000</v>
      </c>
      <c r="T413"/>
      <c r="U413" s="9"/>
      <c r="V413" s="9"/>
      <c r="W413" s="9"/>
      <c r="X413" s="9"/>
    </row>
    <row r="414" spans="1:24">
      <c r="A414" s="13" t="s">
        <v>19</v>
      </c>
      <c r="B414" s="1"/>
      <c r="C414" s="1" t="s">
        <v>32</v>
      </c>
      <c r="D414" s="3">
        <v>5000</v>
      </c>
      <c r="E414"/>
      <c r="F414"/>
      <c r="G414"/>
      <c r="H414"/>
      <c r="I414"/>
      <c r="J414"/>
      <c r="K414"/>
      <c r="L414"/>
      <c r="M414" s="18" t="s">
        <v>199</v>
      </c>
      <c r="N414" t="s">
        <v>1334</v>
      </c>
      <c r="O414" t="s">
        <v>98</v>
      </c>
      <c r="P414" s="1" t="s">
        <v>631</v>
      </c>
      <c r="Q414" s="13" t="s">
        <v>25</v>
      </c>
      <c r="R414">
        <v>1</v>
      </c>
      <c r="S414">
        <v>5000</v>
      </c>
      <c r="T414"/>
      <c r="U414" s="9"/>
      <c r="V414" s="9"/>
      <c r="W414" s="9"/>
      <c r="X414" s="9"/>
    </row>
    <row r="415" spans="1:24">
      <c r="A415" s="13"/>
      <c r="B415" s="1"/>
      <c r="C415" s="1"/>
      <c r="D415" s="3" t="str">
        <f>SUBTOTAL(9,D369:D414)</f>
        <v>0</v>
      </c>
      <c r="E415"/>
      <c r="F415"/>
      <c r="G415"/>
      <c r="H415"/>
      <c r="I415"/>
      <c r="J415"/>
      <c r="K415"/>
      <c r="L415"/>
      <c r="M415" s="18" t="s">
        <v>200</v>
      </c>
      <c r="N415" t="s">
        <v>1446</v>
      </c>
      <c r="O415" t="s">
        <v>98</v>
      </c>
      <c r="P415" s="1"/>
      <c r="Q415" s="13"/>
      <c r="R415"/>
      <c r="S415"/>
      <c r="T415"/>
      <c r="U415" s="9"/>
      <c r="V415" s="9"/>
      <c r="W415" s="9"/>
      <c r="X415" s="9"/>
    </row>
    <row r="416" spans="1:24">
      <c r="A416" s="13" t="s">
        <v>19</v>
      </c>
      <c r="B416" s="1"/>
      <c r="C416" s="1" t="s">
        <v>20</v>
      </c>
      <c r="D416" s="3">
        <v>32000</v>
      </c>
      <c r="E416"/>
      <c r="F416"/>
      <c r="G416"/>
      <c r="H416"/>
      <c r="I416"/>
      <c r="J416"/>
      <c r="K416"/>
      <c r="L416"/>
      <c r="M416" s="18" t="s">
        <v>201</v>
      </c>
      <c r="N416" t="s">
        <v>1321</v>
      </c>
      <c r="O416" t="s">
        <v>1395</v>
      </c>
      <c r="P416" s="1" t="s">
        <v>490</v>
      </c>
      <c r="Q416" s="13" t="s">
        <v>25</v>
      </c>
      <c r="R416">
        <v>1</v>
      </c>
      <c r="S416">
        <v>32000</v>
      </c>
      <c r="T416"/>
      <c r="U416" s="9"/>
      <c r="V416" s="9"/>
      <c r="W416" s="9"/>
      <c r="X416" s="9"/>
    </row>
    <row r="417" spans="1:24">
      <c r="A417" s="13" t="s">
        <v>19</v>
      </c>
      <c r="B417" s="1"/>
      <c r="C417" s="1" t="s">
        <v>20</v>
      </c>
      <c r="D417" s="3">
        <v>32000</v>
      </c>
      <c r="E417"/>
      <c r="F417"/>
      <c r="G417"/>
      <c r="H417"/>
      <c r="I417"/>
      <c r="J417"/>
      <c r="K417"/>
      <c r="L417"/>
      <c r="M417" s="18" t="s">
        <v>201</v>
      </c>
      <c r="N417" t="s">
        <v>1321</v>
      </c>
      <c r="O417" t="s">
        <v>1395</v>
      </c>
      <c r="P417" s="1" t="s">
        <v>527</v>
      </c>
      <c r="Q417" s="13" t="s">
        <v>25</v>
      </c>
      <c r="R417">
        <v>1</v>
      </c>
      <c r="S417">
        <v>32000</v>
      </c>
      <c r="T417"/>
      <c r="U417" s="9"/>
      <c r="V417" s="9"/>
      <c r="W417" s="9"/>
      <c r="X417" s="9"/>
    </row>
    <row r="418" spans="1:24">
      <c r="A418" s="13" t="s">
        <v>19</v>
      </c>
      <c r="B418" s="1"/>
      <c r="C418" s="1" t="s">
        <v>29</v>
      </c>
      <c r="D418" s="3">
        <v>5000</v>
      </c>
      <c r="E418"/>
      <c r="F418"/>
      <c r="G418"/>
      <c r="H418"/>
      <c r="I418"/>
      <c r="J418"/>
      <c r="K418"/>
      <c r="L418"/>
      <c r="M418" s="18" t="s">
        <v>201</v>
      </c>
      <c r="N418" t="s">
        <v>1321</v>
      </c>
      <c r="O418" t="s">
        <v>1395</v>
      </c>
      <c r="P418" s="1" t="s">
        <v>492</v>
      </c>
      <c r="Q418" s="13" t="s">
        <v>25</v>
      </c>
      <c r="R418">
        <v>1</v>
      </c>
      <c r="S418">
        <v>5000</v>
      </c>
      <c r="T418"/>
      <c r="U418" s="9"/>
      <c r="V418" s="9"/>
      <c r="W418" s="9"/>
      <c r="X418" s="9"/>
    </row>
    <row r="419" spans="1:24">
      <c r="A419" s="13" t="s">
        <v>19</v>
      </c>
      <c r="B419" s="1"/>
      <c r="C419" s="1" t="s">
        <v>29</v>
      </c>
      <c r="D419" s="3">
        <v>5000</v>
      </c>
      <c r="E419"/>
      <c r="F419"/>
      <c r="G419"/>
      <c r="H419"/>
      <c r="I419"/>
      <c r="J419"/>
      <c r="K419"/>
      <c r="L419"/>
      <c r="M419" s="18" t="s">
        <v>201</v>
      </c>
      <c r="N419" t="s">
        <v>1321</v>
      </c>
      <c r="O419" t="s">
        <v>1395</v>
      </c>
      <c r="P419" s="1" t="s">
        <v>529</v>
      </c>
      <c r="Q419" s="13" t="s">
        <v>25</v>
      </c>
      <c r="R419">
        <v>1</v>
      </c>
      <c r="S419">
        <v>5000</v>
      </c>
      <c r="T419"/>
      <c r="U419" s="9"/>
      <c r="V419" s="9"/>
      <c r="W419" s="9"/>
      <c r="X419" s="9"/>
    </row>
    <row r="420" spans="1:24">
      <c r="A420" s="13"/>
      <c r="B420" s="1"/>
      <c r="C420" s="1"/>
      <c r="D420" s="3" t="str">
        <f>SUBTOTAL(9,D416:D419)</f>
        <v>0</v>
      </c>
      <c r="E420"/>
      <c r="F420"/>
      <c r="G420"/>
      <c r="H420"/>
      <c r="I420"/>
      <c r="J420"/>
      <c r="K420"/>
      <c r="L420"/>
      <c r="M420" s="18" t="s">
        <v>202</v>
      </c>
      <c r="N420" t="s">
        <v>1447</v>
      </c>
      <c r="O420" t="s">
        <v>1395</v>
      </c>
      <c r="P420" s="1"/>
      <c r="Q420" s="13"/>
      <c r="R420"/>
      <c r="S420"/>
      <c r="T420"/>
      <c r="U420" s="9"/>
      <c r="V420" s="9"/>
      <c r="W420" s="9"/>
      <c r="X420" s="9"/>
    </row>
    <row r="421" spans="1:24">
      <c r="A421" s="13" t="s">
        <v>19</v>
      </c>
      <c r="B421" s="1"/>
      <c r="C421" s="1" t="s">
        <v>20</v>
      </c>
      <c r="D421" s="3">
        <v>122600</v>
      </c>
      <c r="E421"/>
      <c r="F421"/>
      <c r="G421"/>
      <c r="H421"/>
      <c r="I421"/>
      <c r="J421"/>
      <c r="K421"/>
      <c r="L421"/>
      <c r="M421" s="18" t="s">
        <v>203</v>
      </c>
      <c r="N421" t="s">
        <v>1311</v>
      </c>
      <c r="O421" t="s">
        <v>1395</v>
      </c>
      <c r="P421" s="1" t="s">
        <v>632</v>
      </c>
      <c r="Q421" s="13" t="s">
        <v>25</v>
      </c>
      <c r="R421">
        <v>4</v>
      </c>
      <c r="S421">
        <v>30650</v>
      </c>
      <c r="T421"/>
      <c r="U421" s="9"/>
      <c r="V421" s="9"/>
      <c r="W421" s="9"/>
      <c r="X421" s="9"/>
    </row>
    <row r="422" spans="1:24">
      <c r="A422" s="13" t="s">
        <v>19</v>
      </c>
      <c r="B422" s="1"/>
      <c r="C422" s="1" t="s">
        <v>20</v>
      </c>
      <c r="D422" s="3">
        <v>122600</v>
      </c>
      <c r="E422"/>
      <c r="F422"/>
      <c r="G422"/>
      <c r="H422"/>
      <c r="I422"/>
      <c r="J422"/>
      <c r="K422"/>
      <c r="L422"/>
      <c r="M422" s="18" t="s">
        <v>203</v>
      </c>
      <c r="N422" t="s">
        <v>1311</v>
      </c>
      <c r="O422" t="s">
        <v>1395</v>
      </c>
      <c r="P422" s="1" t="s">
        <v>561</v>
      </c>
      <c r="Q422" s="13" t="s">
        <v>25</v>
      </c>
      <c r="R422">
        <v>4</v>
      </c>
      <c r="S422">
        <v>30650</v>
      </c>
      <c r="T422"/>
      <c r="U422" s="9"/>
      <c r="V422" s="9"/>
      <c r="W422" s="9"/>
      <c r="X422" s="9"/>
    </row>
    <row r="423" spans="1:24">
      <c r="A423" s="13" t="s">
        <v>19</v>
      </c>
      <c r="B423" s="1"/>
      <c r="C423" s="1" t="s">
        <v>26</v>
      </c>
      <c r="D423" s="3">
        <v>128000</v>
      </c>
      <c r="E423"/>
      <c r="F423"/>
      <c r="G423"/>
      <c r="H423"/>
      <c r="I423"/>
      <c r="J423"/>
      <c r="K423"/>
      <c r="L423"/>
      <c r="M423" s="18" t="s">
        <v>203</v>
      </c>
      <c r="N423" t="s">
        <v>1311</v>
      </c>
      <c r="O423" t="s">
        <v>1395</v>
      </c>
      <c r="P423" s="1" t="s">
        <v>633</v>
      </c>
      <c r="Q423" s="13" t="s">
        <v>25</v>
      </c>
      <c r="R423">
        <v>4</v>
      </c>
      <c r="S423">
        <v>32000</v>
      </c>
      <c r="T423"/>
      <c r="U423" s="9"/>
      <c r="V423" s="9"/>
      <c r="W423" s="9"/>
      <c r="X423" s="9"/>
    </row>
    <row r="424" spans="1:24">
      <c r="A424" s="13" t="s">
        <v>19</v>
      </c>
      <c r="B424" s="1"/>
      <c r="C424" s="1" t="s">
        <v>26</v>
      </c>
      <c r="D424" s="3">
        <v>64000</v>
      </c>
      <c r="E424"/>
      <c r="F424"/>
      <c r="G424"/>
      <c r="H424"/>
      <c r="I424"/>
      <c r="J424"/>
      <c r="K424"/>
      <c r="L424"/>
      <c r="M424" s="18" t="s">
        <v>203</v>
      </c>
      <c r="N424" t="s">
        <v>1311</v>
      </c>
      <c r="O424" t="s">
        <v>1395</v>
      </c>
      <c r="P424" s="1" t="s">
        <v>634</v>
      </c>
      <c r="Q424" s="13" t="s">
        <v>25</v>
      </c>
      <c r="R424">
        <v>2</v>
      </c>
      <c r="S424">
        <v>32000</v>
      </c>
      <c r="T424"/>
      <c r="U424" s="9"/>
      <c r="V424" s="9"/>
      <c r="W424" s="9"/>
      <c r="X424" s="9"/>
    </row>
    <row r="425" spans="1:24">
      <c r="A425" s="13" t="s">
        <v>19</v>
      </c>
      <c r="B425" s="1"/>
      <c r="C425" s="1" t="s">
        <v>26</v>
      </c>
      <c r="D425" s="3">
        <v>96000</v>
      </c>
      <c r="E425"/>
      <c r="F425"/>
      <c r="G425"/>
      <c r="H425"/>
      <c r="I425"/>
      <c r="J425"/>
      <c r="K425"/>
      <c r="L425"/>
      <c r="M425" s="18" t="s">
        <v>203</v>
      </c>
      <c r="N425" t="s">
        <v>1311</v>
      </c>
      <c r="O425" t="s">
        <v>1395</v>
      </c>
      <c r="P425" s="1" t="s">
        <v>635</v>
      </c>
      <c r="Q425" s="13" t="s">
        <v>25</v>
      </c>
      <c r="R425">
        <v>3</v>
      </c>
      <c r="S425">
        <v>32000</v>
      </c>
      <c r="T425"/>
      <c r="U425" s="9"/>
      <c r="V425" s="9"/>
      <c r="W425" s="9"/>
      <c r="X425" s="9"/>
    </row>
    <row r="426" spans="1:24">
      <c r="A426" s="13" t="s">
        <v>19</v>
      </c>
      <c r="B426" s="1"/>
      <c r="C426" s="1" t="s">
        <v>29</v>
      </c>
      <c r="D426" s="3">
        <v>20000</v>
      </c>
      <c r="E426"/>
      <c r="F426"/>
      <c r="G426"/>
      <c r="H426"/>
      <c r="I426"/>
      <c r="J426"/>
      <c r="K426"/>
      <c r="L426"/>
      <c r="M426" s="18" t="s">
        <v>203</v>
      </c>
      <c r="N426" t="s">
        <v>1311</v>
      </c>
      <c r="O426" t="s">
        <v>1395</v>
      </c>
      <c r="P426" s="1" t="s">
        <v>636</v>
      </c>
      <c r="Q426" s="13" t="s">
        <v>25</v>
      </c>
      <c r="R426">
        <v>4</v>
      </c>
      <c r="S426">
        <v>5000</v>
      </c>
      <c r="T426"/>
      <c r="U426" s="9"/>
      <c r="V426" s="9"/>
      <c r="W426" s="9"/>
      <c r="X426" s="9"/>
    </row>
    <row r="427" spans="1:24">
      <c r="A427" s="13" t="s">
        <v>19</v>
      </c>
      <c r="B427" s="1"/>
      <c r="C427" s="1" t="s">
        <v>29</v>
      </c>
      <c r="D427" s="3">
        <v>20000</v>
      </c>
      <c r="E427"/>
      <c r="F427"/>
      <c r="G427"/>
      <c r="H427"/>
      <c r="I427"/>
      <c r="J427"/>
      <c r="K427"/>
      <c r="L427"/>
      <c r="M427" s="18" t="s">
        <v>203</v>
      </c>
      <c r="N427" t="s">
        <v>1311</v>
      </c>
      <c r="O427" t="s">
        <v>1395</v>
      </c>
      <c r="P427" s="1" t="s">
        <v>563</v>
      </c>
      <c r="Q427" s="13" t="s">
        <v>25</v>
      </c>
      <c r="R427">
        <v>4</v>
      </c>
      <c r="S427">
        <v>5000</v>
      </c>
      <c r="T427"/>
      <c r="U427" s="9"/>
      <c r="V427" s="9"/>
      <c r="W427" s="9"/>
      <c r="X427" s="9"/>
    </row>
    <row r="428" spans="1:24">
      <c r="A428" s="13" t="s">
        <v>19</v>
      </c>
      <c r="B428" s="1"/>
      <c r="C428" s="1" t="s">
        <v>32</v>
      </c>
      <c r="D428" s="3">
        <v>20000</v>
      </c>
      <c r="E428"/>
      <c r="F428"/>
      <c r="G428"/>
      <c r="H428"/>
      <c r="I428"/>
      <c r="J428"/>
      <c r="K428"/>
      <c r="L428"/>
      <c r="M428" s="18" t="s">
        <v>203</v>
      </c>
      <c r="N428" t="s">
        <v>1311</v>
      </c>
      <c r="O428" t="s">
        <v>1395</v>
      </c>
      <c r="P428" s="1" t="s">
        <v>637</v>
      </c>
      <c r="Q428" s="13" t="s">
        <v>25</v>
      </c>
      <c r="R428">
        <v>4</v>
      </c>
      <c r="S428">
        <v>5000</v>
      </c>
      <c r="T428"/>
      <c r="U428" s="9"/>
      <c r="V428" s="9"/>
      <c r="W428" s="9"/>
      <c r="X428" s="9"/>
    </row>
    <row r="429" spans="1:24">
      <c r="A429" s="13" t="s">
        <v>19</v>
      </c>
      <c r="B429" s="1"/>
      <c r="C429" s="1" t="s">
        <v>32</v>
      </c>
      <c r="D429" s="3">
        <v>10000</v>
      </c>
      <c r="E429"/>
      <c r="F429"/>
      <c r="G429"/>
      <c r="H429"/>
      <c r="I429"/>
      <c r="J429"/>
      <c r="K429"/>
      <c r="L429"/>
      <c r="M429" s="18" t="s">
        <v>203</v>
      </c>
      <c r="N429" t="s">
        <v>1311</v>
      </c>
      <c r="O429" t="s">
        <v>1395</v>
      </c>
      <c r="P429" s="1" t="s">
        <v>638</v>
      </c>
      <c r="Q429" s="13" t="s">
        <v>25</v>
      </c>
      <c r="R429">
        <v>2</v>
      </c>
      <c r="S429">
        <v>5000</v>
      </c>
      <c r="T429"/>
      <c r="U429" s="9"/>
      <c r="V429" s="9"/>
      <c r="W429" s="9"/>
      <c r="X429" s="9"/>
    </row>
    <row r="430" spans="1:24">
      <c r="A430" s="13" t="s">
        <v>19</v>
      </c>
      <c r="B430" s="1"/>
      <c r="C430" s="1" t="s">
        <v>32</v>
      </c>
      <c r="D430" s="3">
        <v>15000</v>
      </c>
      <c r="E430"/>
      <c r="F430"/>
      <c r="G430"/>
      <c r="H430"/>
      <c r="I430"/>
      <c r="J430"/>
      <c r="K430"/>
      <c r="L430"/>
      <c r="M430" s="18" t="s">
        <v>203</v>
      </c>
      <c r="N430" t="s">
        <v>1311</v>
      </c>
      <c r="O430" t="s">
        <v>1395</v>
      </c>
      <c r="P430" s="1" t="s">
        <v>639</v>
      </c>
      <c r="Q430" s="13" t="s">
        <v>25</v>
      </c>
      <c r="R430">
        <v>3</v>
      </c>
      <c r="S430">
        <v>5000</v>
      </c>
      <c r="T430"/>
      <c r="U430" s="9"/>
      <c r="V430" s="9"/>
      <c r="W430" s="9"/>
      <c r="X430" s="9"/>
    </row>
    <row r="431" spans="1:24">
      <c r="A431" s="13"/>
      <c r="B431" s="1"/>
      <c r="C431" s="1"/>
      <c r="D431" s="3" t="str">
        <f>SUBTOTAL(9,D421:D430)</f>
        <v>0</v>
      </c>
      <c r="E431"/>
      <c r="F431"/>
      <c r="G431"/>
      <c r="H431"/>
      <c r="I431"/>
      <c r="J431"/>
      <c r="K431"/>
      <c r="L431"/>
      <c r="M431" s="18" t="s">
        <v>204</v>
      </c>
      <c r="N431" t="s">
        <v>1448</v>
      </c>
      <c r="O431" t="s">
        <v>1395</v>
      </c>
      <c r="P431" s="1"/>
      <c r="Q431" s="13"/>
      <c r="R431"/>
      <c r="S431"/>
      <c r="T431"/>
      <c r="U431" s="9"/>
      <c r="V431" s="9"/>
      <c r="W431" s="9"/>
      <c r="X431" s="9"/>
    </row>
    <row r="432" spans="1:24">
      <c r="A432" s="13" t="s">
        <v>19</v>
      </c>
      <c r="B432" s="1"/>
      <c r="C432" s="1" t="s">
        <v>20</v>
      </c>
      <c r="D432" s="3">
        <v>32000</v>
      </c>
      <c r="E432"/>
      <c r="F432"/>
      <c r="G432"/>
      <c r="H432"/>
      <c r="I432"/>
      <c r="J432"/>
      <c r="K432"/>
      <c r="L432"/>
      <c r="M432" s="18" t="s">
        <v>205</v>
      </c>
      <c r="N432" t="s">
        <v>1367</v>
      </c>
      <c r="O432" t="s">
        <v>1395</v>
      </c>
      <c r="P432" s="1" t="s">
        <v>24</v>
      </c>
      <c r="Q432" s="13" t="s">
        <v>25</v>
      </c>
      <c r="R432">
        <v>1</v>
      </c>
      <c r="S432">
        <v>32000</v>
      </c>
      <c r="T432"/>
      <c r="U432" s="9"/>
      <c r="V432" s="9"/>
      <c r="W432" s="9"/>
      <c r="X432" s="9"/>
    </row>
    <row r="433" spans="1:24">
      <c r="A433" s="13" t="s">
        <v>19</v>
      </c>
      <c r="B433" s="1"/>
      <c r="C433" s="1" t="s">
        <v>20</v>
      </c>
      <c r="D433" s="3">
        <v>96000</v>
      </c>
      <c r="E433"/>
      <c r="F433"/>
      <c r="G433"/>
      <c r="H433"/>
      <c r="I433"/>
      <c r="J433"/>
      <c r="K433"/>
      <c r="L433"/>
      <c r="M433" s="18" t="s">
        <v>205</v>
      </c>
      <c r="N433" t="s">
        <v>1367</v>
      </c>
      <c r="O433" t="s">
        <v>1395</v>
      </c>
      <c r="P433" s="1" t="s">
        <v>24</v>
      </c>
      <c r="Q433" s="13" t="s">
        <v>25</v>
      </c>
      <c r="R433">
        <v>3</v>
      </c>
      <c r="S433">
        <v>32000</v>
      </c>
      <c r="T433"/>
      <c r="U433" s="9"/>
      <c r="V433" s="9"/>
      <c r="W433" s="9"/>
      <c r="X433" s="9"/>
    </row>
    <row r="434" spans="1:24">
      <c r="A434" s="13" t="s">
        <v>19</v>
      </c>
      <c r="B434" s="1"/>
      <c r="C434" s="1" t="s">
        <v>26</v>
      </c>
      <c r="D434" s="3">
        <v>32000</v>
      </c>
      <c r="E434"/>
      <c r="F434"/>
      <c r="G434"/>
      <c r="H434"/>
      <c r="I434"/>
      <c r="J434"/>
      <c r="K434"/>
      <c r="L434"/>
      <c r="M434" s="18" t="s">
        <v>205</v>
      </c>
      <c r="N434" t="s">
        <v>1367</v>
      </c>
      <c r="O434" t="s">
        <v>1395</v>
      </c>
      <c r="P434" s="1" t="s">
        <v>640</v>
      </c>
      <c r="Q434" s="13" t="s">
        <v>25</v>
      </c>
      <c r="R434">
        <v>1</v>
      </c>
      <c r="S434">
        <v>32000</v>
      </c>
      <c r="T434"/>
      <c r="U434" s="9"/>
      <c r="V434" s="9"/>
      <c r="W434" s="9"/>
      <c r="X434" s="9"/>
    </row>
    <row r="435" spans="1:24">
      <c r="A435" s="13" t="s">
        <v>19</v>
      </c>
      <c r="B435" s="1"/>
      <c r="C435" s="1" t="s">
        <v>29</v>
      </c>
      <c r="D435" s="3">
        <v>5000</v>
      </c>
      <c r="E435"/>
      <c r="F435"/>
      <c r="G435"/>
      <c r="H435"/>
      <c r="I435"/>
      <c r="J435"/>
      <c r="K435"/>
      <c r="L435"/>
      <c r="M435" s="18" t="s">
        <v>205</v>
      </c>
      <c r="N435" t="s">
        <v>1367</v>
      </c>
      <c r="O435" t="s">
        <v>1395</v>
      </c>
      <c r="P435" s="1" t="s">
        <v>30</v>
      </c>
      <c r="Q435" s="13" t="s">
        <v>25</v>
      </c>
      <c r="R435">
        <v>1</v>
      </c>
      <c r="S435">
        <v>5000</v>
      </c>
      <c r="T435"/>
      <c r="U435" s="9"/>
      <c r="V435" s="9"/>
      <c r="W435" s="9"/>
      <c r="X435" s="9"/>
    </row>
    <row r="436" spans="1:24">
      <c r="A436" s="13" t="s">
        <v>19</v>
      </c>
      <c r="B436" s="1"/>
      <c r="C436" s="1" t="s">
        <v>29</v>
      </c>
      <c r="D436" s="3">
        <v>15000</v>
      </c>
      <c r="E436"/>
      <c r="F436"/>
      <c r="G436"/>
      <c r="H436"/>
      <c r="I436"/>
      <c r="J436"/>
      <c r="K436"/>
      <c r="L436"/>
      <c r="M436" s="18" t="s">
        <v>205</v>
      </c>
      <c r="N436" t="s">
        <v>1367</v>
      </c>
      <c r="O436" t="s">
        <v>1395</v>
      </c>
      <c r="P436" s="1" t="s">
        <v>30</v>
      </c>
      <c r="Q436" s="13" t="s">
        <v>25</v>
      </c>
      <c r="R436">
        <v>3</v>
      </c>
      <c r="S436">
        <v>5000</v>
      </c>
      <c r="T436"/>
      <c r="U436" s="9"/>
      <c r="V436" s="9"/>
      <c r="W436" s="9"/>
      <c r="X436" s="9"/>
    </row>
    <row r="437" spans="1:24">
      <c r="A437" s="13" t="s">
        <v>19</v>
      </c>
      <c r="B437" s="1"/>
      <c r="C437" s="1" t="s">
        <v>32</v>
      </c>
      <c r="D437" s="3">
        <v>5000</v>
      </c>
      <c r="E437"/>
      <c r="F437"/>
      <c r="G437"/>
      <c r="H437"/>
      <c r="I437"/>
      <c r="J437"/>
      <c r="K437"/>
      <c r="L437"/>
      <c r="M437" s="18" t="s">
        <v>205</v>
      </c>
      <c r="N437" t="s">
        <v>1367</v>
      </c>
      <c r="O437" t="s">
        <v>1395</v>
      </c>
      <c r="P437" s="1" t="s">
        <v>641</v>
      </c>
      <c r="Q437" s="13" t="s">
        <v>25</v>
      </c>
      <c r="R437">
        <v>1</v>
      </c>
      <c r="S437">
        <v>5000</v>
      </c>
      <c r="T437"/>
      <c r="U437" s="9"/>
      <c r="V437" s="9"/>
      <c r="W437" s="9"/>
      <c r="X437" s="9"/>
    </row>
    <row r="438" spans="1:24">
      <c r="A438" s="13"/>
      <c r="B438" s="1"/>
      <c r="C438" s="1"/>
      <c r="D438" s="3" t="str">
        <f>SUBTOTAL(9,D432:D437)</f>
        <v>0</v>
      </c>
      <c r="E438"/>
      <c r="F438"/>
      <c r="G438"/>
      <c r="H438"/>
      <c r="I438"/>
      <c r="J438"/>
      <c r="K438"/>
      <c r="L438"/>
      <c r="M438" s="18" t="s">
        <v>206</v>
      </c>
      <c r="N438" t="s">
        <v>1449</v>
      </c>
      <c r="O438" t="s">
        <v>1395</v>
      </c>
      <c r="P438" s="1"/>
      <c r="Q438" s="13"/>
      <c r="R438"/>
      <c r="S438"/>
      <c r="T438"/>
      <c r="U438" s="9"/>
      <c r="V438" s="9"/>
      <c r="W438" s="9"/>
      <c r="X438" s="9"/>
    </row>
    <row r="439" spans="1:24">
      <c r="A439" s="13" t="s">
        <v>19</v>
      </c>
      <c r="B439" s="1"/>
      <c r="C439" s="1" t="s">
        <v>20</v>
      </c>
      <c r="D439" s="3">
        <v>90000</v>
      </c>
      <c r="E439"/>
      <c r="F439"/>
      <c r="G439"/>
      <c r="H439"/>
      <c r="I439"/>
      <c r="J439"/>
      <c r="K439"/>
      <c r="L439"/>
      <c r="M439" s="18" t="s">
        <v>207</v>
      </c>
      <c r="N439" t="s">
        <v>1336</v>
      </c>
      <c r="O439" t="s">
        <v>96</v>
      </c>
      <c r="P439" s="1" t="s">
        <v>560</v>
      </c>
      <c r="Q439" s="13" t="s">
        <v>25</v>
      </c>
      <c r="R439">
        <v>3</v>
      </c>
      <c r="S439">
        <v>30000</v>
      </c>
      <c r="T439"/>
      <c r="U439" s="9"/>
      <c r="V439" s="9"/>
      <c r="W439" s="9"/>
      <c r="X439" s="9"/>
    </row>
    <row r="440" spans="1:24">
      <c r="A440" s="13" t="s">
        <v>19</v>
      </c>
      <c r="B440" s="1"/>
      <c r="C440" s="1" t="s">
        <v>20</v>
      </c>
      <c r="D440" s="3">
        <v>30000</v>
      </c>
      <c r="E440"/>
      <c r="F440"/>
      <c r="G440"/>
      <c r="H440"/>
      <c r="I440"/>
      <c r="J440"/>
      <c r="K440"/>
      <c r="L440"/>
      <c r="M440" s="18" t="s">
        <v>207</v>
      </c>
      <c r="N440" t="s">
        <v>1336</v>
      </c>
      <c r="O440" t="s">
        <v>96</v>
      </c>
      <c r="P440" s="1" t="s">
        <v>521</v>
      </c>
      <c r="Q440" s="13" t="s">
        <v>25</v>
      </c>
      <c r="R440">
        <v>1</v>
      </c>
      <c r="S440">
        <v>30000</v>
      </c>
      <c r="T440"/>
      <c r="U440" s="9"/>
      <c r="V440" s="9"/>
      <c r="W440" s="9"/>
      <c r="X440" s="9"/>
    </row>
    <row r="441" spans="1:24">
      <c r="A441" s="13" t="s">
        <v>19</v>
      </c>
      <c r="B441" s="1"/>
      <c r="C441" s="1" t="s">
        <v>20</v>
      </c>
      <c r="D441" s="3">
        <v>32000</v>
      </c>
      <c r="E441"/>
      <c r="F441"/>
      <c r="G441"/>
      <c r="H441"/>
      <c r="I441"/>
      <c r="J441"/>
      <c r="K441"/>
      <c r="L441"/>
      <c r="M441" s="18" t="s">
        <v>207</v>
      </c>
      <c r="N441" t="s">
        <v>1336</v>
      </c>
      <c r="O441" t="s">
        <v>96</v>
      </c>
      <c r="P441" s="1" t="s">
        <v>642</v>
      </c>
      <c r="Q441" s="13" t="s">
        <v>25</v>
      </c>
      <c r="R441">
        <v>1</v>
      </c>
      <c r="S441">
        <v>32000</v>
      </c>
      <c r="T441"/>
      <c r="U441" s="9"/>
      <c r="V441" s="9"/>
      <c r="W441" s="9"/>
      <c r="X441" s="9"/>
    </row>
    <row r="442" spans="1:24">
      <c r="A442" s="13" t="s">
        <v>19</v>
      </c>
      <c r="B442" s="1"/>
      <c r="C442" s="1" t="s">
        <v>20</v>
      </c>
      <c r="D442" s="3">
        <v>30000</v>
      </c>
      <c r="E442"/>
      <c r="F442"/>
      <c r="G442"/>
      <c r="H442"/>
      <c r="I442"/>
      <c r="J442"/>
      <c r="K442"/>
      <c r="L442"/>
      <c r="M442" s="18" t="s">
        <v>207</v>
      </c>
      <c r="N442" t="s">
        <v>1336</v>
      </c>
      <c r="O442" t="s">
        <v>96</v>
      </c>
      <c r="P442" s="1" t="s">
        <v>643</v>
      </c>
      <c r="Q442" s="13" t="s">
        <v>25</v>
      </c>
      <c r="R442">
        <v>1</v>
      </c>
      <c r="S442">
        <v>30000</v>
      </c>
      <c r="T442"/>
      <c r="U442" s="9"/>
      <c r="V442" s="9"/>
      <c r="W442" s="9"/>
      <c r="X442" s="9"/>
    </row>
    <row r="443" spans="1:24">
      <c r="A443" s="13" t="s">
        <v>19</v>
      </c>
      <c r="B443" s="1"/>
      <c r="C443" s="1" t="s">
        <v>26</v>
      </c>
      <c r="D443" s="3">
        <v>74000</v>
      </c>
      <c r="E443"/>
      <c r="F443"/>
      <c r="G443"/>
      <c r="H443"/>
      <c r="I443"/>
      <c r="J443"/>
      <c r="K443"/>
      <c r="L443"/>
      <c r="M443" s="18" t="s">
        <v>207</v>
      </c>
      <c r="N443" t="s">
        <v>1336</v>
      </c>
      <c r="O443" t="s">
        <v>96</v>
      </c>
      <c r="P443" s="1" t="s">
        <v>644</v>
      </c>
      <c r="Q443" s="13" t="s">
        <v>25</v>
      </c>
      <c r="R443">
        <v>2</v>
      </c>
      <c r="S443">
        <v>37000</v>
      </c>
      <c r="T443"/>
      <c r="U443" s="9"/>
      <c r="V443" s="9"/>
      <c r="W443" s="9"/>
      <c r="X443" s="9"/>
    </row>
    <row r="444" spans="1:24">
      <c r="A444" s="13" t="s">
        <v>19</v>
      </c>
      <c r="B444" s="1"/>
      <c r="C444" s="1" t="s">
        <v>26</v>
      </c>
      <c r="D444" s="3">
        <v>37000</v>
      </c>
      <c r="E444"/>
      <c r="F444"/>
      <c r="G444"/>
      <c r="H444"/>
      <c r="I444"/>
      <c r="J444"/>
      <c r="K444"/>
      <c r="L444"/>
      <c r="M444" s="18" t="s">
        <v>207</v>
      </c>
      <c r="N444" t="s">
        <v>1336</v>
      </c>
      <c r="O444" t="s">
        <v>96</v>
      </c>
      <c r="P444" s="1" t="s">
        <v>645</v>
      </c>
      <c r="Q444" s="13" t="s">
        <v>25</v>
      </c>
      <c r="R444">
        <v>1</v>
      </c>
      <c r="S444">
        <v>37000</v>
      </c>
      <c r="T444"/>
      <c r="U444" s="9"/>
      <c r="V444" s="9"/>
      <c r="W444" s="9"/>
      <c r="X444" s="9"/>
    </row>
    <row r="445" spans="1:24">
      <c r="A445" s="13" t="s">
        <v>19</v>
      </c>
      <c r="B445" s="1"/>
      <c r="C445" s="1" t="s">
        <v>29</v>
      </c>
      <c r="D445" s="3">
        <v>15000</v>
      </c>
      <c r="E445"/>
      <c r="F445"/>
      <c r="G445"/>
      <c r="H445"/>
      <c r="I445"/>
      <c r="J445"/>
      <c r="K445"/>
      <c r="L445"/>
      <c r="M445" s="18" t="s">
        <v>207</v>
      </c>
      <c r="N445" t="s">
        <v>1336</v>
      </c>
      <c r="O445" t="s">
        <v>96</v>
      </c>
      <c r="P445" s="1" t="s">
        <v>562</v>
      </c>
      <c r="Q445" s="13" t="s">
        <v>25</v>
      </c>
      <c r="R445">
        <v>3</v>
      </c>
      <c r="S445">
        <v>5000</v>
      </c>
      <c r="T445"/>
      <c r="U445" s="9"/>
      <c r="V445" s="9"/>
      <c r="W445" s="9"/>
      <c r="X445" s="9"/>
    </row>
    <row r="446" spans="1:24">
      <c r="A446" s="13" t="s">
        <v>19</v>
      </c>
      <c r="B446" s="1"/>
      <c r="C446" s="1" t="s">
        <v>29</v>
      </c>
      <c r="D446" s="3">
        <v>5000</v>
      </c>
      <c r="E446"/>
      <c r="F446"/>
      <c r="G446"/>
      <c r="H446"/>
      <c r="I446"/>
      <c r="J446"/>
      <c r="K446"/>
      <c r="L446"/>
      <c r="M446" s="18" t="s">
        <v>207</v>
      </c>
      <c r="N446" t="s">
        <v>1336</v>
      </c>
      <c r="O446" t="s">
        <v>96</v>
      </c>
      <c r="P446" s="1" t="s">
        <v>523</v>
      </c>
      <c r="Q446" s="13" t="s">
        <v>25</v>
      </c>
      <c r="R446">
        <v>1</v>
      </c>
      <c r="S446">
        <v>5000</v>
      </c>
      <c r="T446"/>
      <c r="U446" s="9"/>
      <c r="V446" s="9"/>
      <c r="W446" s="9"/>
      <c r="X446" s="9"/>
    </row>
    <row r="447" spans="1:24">
      <c r="A447" s="13" t="s">
        <v>19</v>
      </c>
      <c r="B447" s="1"/>
      <c r="C447" s="1" t="s">
        <v>29</v>
      </c>
      <c r="D447" s="3">
        <v>5000</v>
      </c>
      <c r="E447"/>
      <c r="F447"/>
      <c r="G447"/>
      <c r="H447"/>
      <c r="I447"/>
      <c r="J447"/>
      <c r="K447"/>
      <c r="L447"/>
      <c r="M447" s="18" t="s">
        <v>207</v>
      </c>
      <c r="N447" t="s">
        <v>1336</v>
      </c>
      <c r="O447" t="s">
        <v>96</v>
      </c>
      <c r="P447" s="1" t="s">
        <v>646</v>
      </c>
      <c r="Q447" s="13" t="s">
        <v>25</v>
      </c>
      <c r="R447">
        <v>1</v>
      </c>
      <c r="S447">
        <v>5000</v>
      </c>
      <c r="T447"/>
      <c r="U447" s="9"/>
      <c r="V447" s="9"/>
      <c r="W447" s="9"/>
      <c r="X447" s="9"/>
    </row>
    <row r="448" spans="1:24">
      <c r="A448" s="13" t="s">
        <v>19</v>
      </c>
      <c r="B448" s="1"/>
      <c r="C448" s="1" t="s">
        <v>29</v>
      </c>
      <c r="D448" s="3">
        <v>5000</v>
      </c>
      <c r="E448"/>
      <c r="F448"/>
      <c r="G448"/>
      <c r="H448"/>
      <c r="I448"/>
      <c r="J448"/>
      <c r="K448"/>
      <c r="L448"/>
      <c r="M448" s="18" t="s">
        <v>207</v>
      </c>
      <c r="N448" t="s">
        <v>1336</v>
      </c>
      <c r="O448" t="s">
        <v>96</v>
      </c>
      <c r="P448" s="1" t="s">
        <v>647</v>
      </c>
      <c r="Q448" s="13" t="s">
        <v>25</v>
      </c>
      <c r="R448">
        <v>1</v>
      </c>
      <c r="S448">
        <v>5000</v>
      </c>
      <c r="T448"/>
      <c r="U448" s="9"/>
      <c r="V448" s="9"/>
      <c r="W448" s="9"/>
      <c r="X448" s="9"/>
    </row>
    <row r="449" spans="1:24">
      <c r="A449" s="13" t="s">
        <v>19</v>
      </c>
      <c r="B449" s="1"/>
      <c r="C449" s="1" t="s">
        <v>32</v>
      </c>
      <c r="D449" s="3">
        <v>10000</v>
      </c>
      <c r="E449"/>
      <c r="F449"/>
      <c r="G449"/>
      <c r="H449"/>
      <c r="I449"/>
      <c r="J449"/>
      <c r="K449"/>
      <c r="L449"/>
      <c r="M449" s="18" t="s">
        <v>207</v>
      </c>
      <c r="N449" t="s">
        <v>1336</v>
      </c>
      <c r="O449" t="s">
        <v>96</v>
      </c>
      <c r="P449" s="1" t="s">
        <v>648</v>
      </c>
      <c r="Q449" s="13" t="s">
        <v>25</v>
      </c>
      <c r="R449">
        <v>2</v>
      </c>
      <c r="S449">
        <v>5000</v>
      </c>
      <c r="T449"/>
      <c r="U449" s="9"/>
      <c r="V449" s="9"/>
      <c r="W449" s="9"/>
      <c r="X449" s="9"/>
    </row>
    <row r="450" spans="1:24">
      <c r="A450" s="13" t="s">
        <v>19</v>
      </c>
      <c r="B450" s="1"/>
      <c r="C450" s="1" t="s">
        <v>32</v>
      </c>
      <c r="D450" s="3">
        <v>5000</v>
      </c>
      <c r="E450"/>
      <c r="F450"/>
      <c r="G450"/>
      <c r="H450"/>
      <c r="I450"/>
      <c r="J450"/>
      <c r="K450"/>
      <c r="L450"/>
      <c r="M450" s="18" t="s">
        <v>207</v>
      </c>
      <c r="N450" t="s">
        <v>1336</v>
      </c>
      <c r="O450" t="s">
        <v>96</v>
      </c>
      <c r="P450" s="1" t="s">
        <v>649</v>
      </c>
      <c r="Q450" s="13" t="s">
        <v>25</v>
      </c>
      <c r="R450">
        <v>1</v>
      </c>
      <c r="S450">
        <v>5000</v>
      </c>
      <c r="T450"/>
      <c r="U450" s="9"/>
      <c r="V450" s="9"/>
      <c r="W450" s="9"/>
      <c r="X450" s="9"/>
    </row>
    <row r="451" spans="1:24">
      <c r="A451" s="13"/>
      <c r="B451" s="1"/>
      <c r="C451" s="1"/>
      <c r="D451" s="3" t="str">
        <f>SUBTOTAL(9,D439:D450)</f>
        <v>0</v>
      </c>
      <c r="E451"/>
      <c r="F451"/>
      <c r="G451"/>
      <c r="H451"/>
      <c r="I451"/>
      <c r="J451"/>
      <c r="K451"/>
      <c r="L451"/>
      <c r="M451" s="18" t="s">
        <v>208</v>
      </c>
      <c r="N451" t="s">
        <v>1450</v>
      </c>
      <c r="O451" t="s">
        <v>96</v>
      </c>
      <c r="P451" s="1"/>
      <c r="Q451" s="13"/>
      <c r="R451"/>
      <c r="S451"/>
      <c r="T451"/>
      <c r="U451" s="9"/>
      <c r="V451" s="9"/>
      <c r="W451" s="9"/>
      <c r="X451" s="9"/>
    </row>
    <row r="452" spans="1:24">
      <c r="A452" s="13" t="s">
        <v>19</v>
      </c>
      <c r="B452" s="1"/>
      <c r="C452" s="1" t="s">
        <v>20</v>
      </c>
      <c r="D452" s="3">
        <v>64000</v>
      </c>
      <c r="E452"/>
      <c r="F452"/>
      <c r="G452"/>
      <c r="H452"/>
      <c r="I452"/>
      <c r="J452"/>
      <c r="K452"/>
      <c r="L452"/>
      <c r="M452" s="18" t="s">
        <v>209</v>
      </c>
      <c r="N452" t="s">
        <v>1147</v>
      </c>
      <c r="O452" t="s">
        <v>23</v>
      </c>
      <c r="P452" s="1" t="s">
        <v>24</v>
      </c>
      <c r="Q452" s="13" t="s">
        <v>25</v>
      </c>
      <c r="R452">
        <v>2</v>
      </c>
      <c r="S452">
        <v>32000</v>
      </c>
      <c r="T452"/>
      <c r="U452" s="9"/>
      <c r="V452" s="9"/>
      <c r="W452" s="9"/>
      <c r="X452" s="9"/>
    </row>
    <row r="453" spans="1:24">
      <c r="A453" s="13" t="s">
        <v>19</v>
      </c>
      <c r="B453" s="1"/>
      <c r="C453" s="1" t="s">
        <v>20</v>
      </c>
      <c r="D453" s="3">
        <v>32000</v>
      </c>
      <c r="E453"/>
      <c r="F453"/>
      <c r="G453"/>
      <c r="H453"/>
      <c r="I453"/>
      <c r="J453"/>
      <c r="K453"/>
      <c r="L453"/>
      <c r="M453" s="18" t="s">
        <v>209</v>
      </c>
      <c r="N453" t="s">
        <v>1147</v>
      </c>
      <c r="O453" t="s">
        <v>23</v>
      </c>
      <c r="P453" s="1" t="s">
        <v>24</v>
      </c>
      <c r="Q453" s="13" t="s">
        <v>25</v>
      </c>
      <c r="R453">
        <v>1</v>
      </c>
      <c r="S453">
        <v>32000</v>
      </c>
      <c r="T453"/>
      <c r="U453" s="9"/>
      <c r="V453" s="9"/>
      <c r="W453" s="9"/>
      <c r="X453" s="9"/>
    </row>
    <row r="454" spans="1:24">
      <c r="A454" s="13" t="s">
        <v>19</v>
      </c>
      <c r="B454" s="1"/>
      <c r="C454" s="1" t="s">
        <v>20</v>
      </c>
      <c r="D454" s="3">
        <v>32000</v>
      </c>
      <c r="E454"/>
      <c r="F454"/>
      <c r="G454"/>
      <c r="H454"/>
      <c r="I454"/>
      <c r="J454"/>
      <c r="K454"/>
      <c r="L454"/>
      <c r="M454" s="18" t="s">
        <v>209</v>
      </c>
      <c r="N454" t="s">
        <v>1147</v>
      </c>
      <c r="O454" t="s">
        <v>23</v>
      </c>
      <c r="P454" s="1" t="s">
        <v>24</v>
      </c>
      <c r="Q454" s="13" t="s">
        <v>25</v>
      </c>
      <c r="R454">
        <v>1</v>
      </c>
      <c r="S454">
        <v>32000</v>
      </c>
      <c r="T454"/>
      <c r="U454" s="9"/>
      <c r="V454" s="9"/>
      <c r="W454" s="9"/>
      <c r="X454" s="9"/>
    </row>
    <row r="455" spans="1:24">
      <c r="A455" s="13" t="s">
        <v>19</v>
      </c>
      <c r="B455" s="1"/>
      <c r="C455" s="1" t="s">
        <v>26</v>
      </c>
      <c r="D455" s="3">
        <v>37000</v>
      </c>
      <c r="E455"/>
      <c r="F455"/>
      <c r="G455"/>
      <c r="H455"/>
      <c r="I455"/>
      <c r="J455"/>
      <c r="K455"/>
      <c r="L455"/>
      <c r="M455" s="18" t="s">
        <v>209</v>
      </c>
      <c r="N455" t="s">
        <v>1147</v>
      </c>
      <c r="O455" t="s">
        <v>23</v>
      </c>
      <c r="P455" s="1" t="s">
        <v>650</v>
      </c>
      <c r="Q455" s="13" t="s">
        <v>25</v>
      </c>
      <c r="R455">
        <v>1</v>
      </c>
      <c r="S455">
        <v>37000</v>
      </c>
      <c r="T455"/>
      <c r="U455" s="9"/>
      <c r="V455" s="9"/>
      <c r="W455" s="9"/>
      <c r="X455" s="9"/>
    </row>
    <row r="456" spans="1:24">
      <c r="A456" s="13" t="s">
        <v>19</v>
      </c>
      <c r="B456" s="1"/>
      <c r="C456" s="1" t="s">
        <v>26</v>
      </c>
      <c r="D456" s="3">
        <v>74000</v>
      </c>
      <c r="E456"/>
      <c r="F456"/>
      <c r="G456"/>
      <c r="H456"/>
      <c r="I456"/>
      <c r="J456"/>
      <c r="K456"/>
      <c r="L456"/>
      <c r="M456" s="18" t="s">
        <v>209</v>
      </c>
      <c r="N456" t="s">
        <v>1147</v>
      </c>
      <c r="O456" t="s">
        <v>23</v>
      </c>
      <c r="P456" s="1" t="s">
        <v>651</v>
      </c>
      <c r="Q456" s="13" t="s">
        <v>25</v>
      </c>
      <c r="R456">
        <v>2</v>
      </c>
      <c r="S456">
        <v>37000</v>
      </c>
      <c r="T456"/>
      <c r="U456" s="9"/>
      <c r="V456" s="9"/>
      <c r="W456" s="9"/>
      <c r="X456" s="9"/>
    </row>
    <row r="457" spans="1:24">
      <c r="A457" s="13" t="s">
        <v>19</v>
      </c>
      <c r="B457" s="1"/>
      <c r="C457" s="1" t="s">
        <v>26</v>
      </c>
      <c r="D457" s="3">
        <v>74000</v>
      </c>
      <c r="E457"/>
      <c r="F457"/>
      <c r="G457"/>
      <c r="H457"/>
      <c r="I457"/>
      <c r="J457"/>
      <c r="K457"/>
      <c r="L457"/>
      <c r="M457" s="18" t="s">
        <v>209</v>
      </c>
      <c r="N457" t="s">
        <v>1147</v>
      </c>
      <c r="O457" t="s">
        <v>23</v>
      </c>
      <c r="P457" s="1" t="s">
        <v>652</v>
      </c>
      <c r="Q457" s="13" t="s">
        <v>25</v>
      </c>
      <c r="R457">
        <v>2</v>
      </c>
      <c r="S457">
        <v>37000</v>
      </c>
      <c r="T457"/>
      <c r="U457" s="9"/>
      <c r="V457" s="9"/>
      <c r="W457" s="9"/>
      <c r="X457" s="9"/>
    </row>
    <row r="458" spans="1:24">
      <c r="A458" s="13" t="s">
        <v>19</v>
      </c>
      <c r="B458" s="1"/>
      <c r="C458" s="1" t="s">
        <v>29</v>
      </c>
      <c r="D458" s="3">
        <v>10000</v>
      </c>
      <c r="E458"/>
      <c r="F458"/>
      <c r="G458"/>
      <c r="H458"/>
      <c r="I458"/>
      <c r="J458"/>
      <c r="K458"/>
      <c r="L458"/>
      <c r="M458" s="18" t="s">
        <v>209</v>
      </c>
      <c r="N458" t="s">
        <v>1147</v>
      </c>
      <c r="O458" t="s">
        <v>23</v>
      </c>
      <c r="P458" s="1" t="s">
        <v>30</v>
      </c>
      <c r="Q458" s="13" t="s">
        <v>25</v>
      </c>
      <c r="R458">
        <v>2</v>
      </c>
      <c r="S458">
        <v>5000</v>
      </c>
      <c r="T458"/>
      <c r="U458" s="9"/>
      <c r="V458" s="9"/>
      <c r="W458" s="9"/>
      <c r="X458" s="9"/>
    </row>
    <row r="459" spans="1:24">
      <c r="A459" s="13" t="s">
        <v>19</v>
      </c>
      <c r="B459" s="1"/>
      <c r="C459" s="1" t="s">
        <v>29</v>
      </c>
      <c r="D459" s="3">
        <v>5000</v>
      </c>
      <c r="E459"/>
      <c r="F459"/>
      <c r="G459"/>
      <c r="H459"/>
      <c r="I459"/>
      <c r="J459"/>
      <c r="K459"/>
      <c r="L459"/>
      <c r="M459" s="18" t="s">
        <v>209</v>
      </c>
      <c r="N459" t="s">
        <v>1147</v>
      </c>
      <c r="O459" t="s">
        <v>23</v>
      </c>
      <c r="P459" s="1" t="s">
        <v>30</v>
      </c>
      <c r="Q459" s="13" t="s">
        <v>25</v>
      </c>
      <c r="R459">
        <v>1</v>
      </c>
      <c r="S459">
        <v>5000</v>
      </c>
      <c r="T459"/>
      <c r="U459" s="9"/>
      <c r="V459" s="9"/>
      <c r="W459" s="9"/>
      <c r="X459" s="9"/>
    </row>
    <row r="460" spans="1:24">
      <c r="A460" s="13" t="s">
        <v>19</v>
      </c>
      <c r="B460" s="1"/>
      <c r="C460" s="1" t="s">
        <v>29</v>
      </c>
      <c r="D460" s="3">
        <v>5000</v>
      </c>
      <c r="E460"/>
      <c r="F460"/>
      <c r="G460"/>
      <c r="H460"/>
      <c r="I460"/>
      <c r="J460"/>
      <c r="K460"/>
      <c r="L460"/>
      <c r="M460" s="18" t="s">
        <v>209</v>
      </c>
      <c r="N460" t="s">
        <v>1147</v>
      </c>
      <c r="O460" t="s">
        <v>23</v>
      </c>
      <c r="P460" s="1" t="s">
        <v>30</v>
      </c>
      <c r="Q460" s="13" t="s">
        <v>25</v>
      </c>
      <c r="R460">
        <v>1</v>
      </c>
      <c r="S460">
        <v>5000</v>
      </c>
      <c r="T460"/>
      <c r="U460" s="9"/>
      <c r="V460" s="9"/>
      <c r="W460" s="9"/>
      <c r="X460" s="9"/>
    </row>
    <row r="461" spans="1:24">
      <c r="A461" s="13" t="s">
        <v>19</v>
      </c>
      <c r="B461" s="1"/>
      <c r="C461" s="1" t="s">
        <v>32</v>
      </c>
      <c r="D461" s="3">
        <v>5000</v>
      </c>
      <c r="E461"/>
      <c r="F461"/>
      <c r="G461"/>
      <c r="H461"/>
      <c r="I461"/>
      <c r="J461"/>
      <c r="K461"/>
      <c r="L461"/>
      <c r="M461" s="18" t="s">
        <v>209</v>
      </c>
      <c r="N461" t="s">
        <v>1147</v>
      </c>
      <c r="O461" t="s">
        <v>23</v>
      </c>
      <c r="P461" s="1" t="s">
        <v>653</v>
      </c>
      <c r="Q461" s="13" t="s">
        <v>25</v>
      </c>
      <c r="R461">
        <v>1</v>
      </c>
      <c r="S461">
        <v>5000</v>
      </c>
      <c r="T461"/>
      <c r="U461" s="9"/>
      <c r="V461" s="9"/>
      <c r="W461" s="9"/>
      <c r="X461" s="9"/>
    </row>
    <row r="462" spans="1:24">
      <c r="A462" s="13" t="s">
        <v>19</v>
      </c>
      <c r="B462" s="1"/>
      <c r="C462" s="1" t="s">
        <v>32</v>
      </c>
      <c r="D462" s="3">
        <v>10000</v>
      </c>
      <c r="E462"/>
      <c r="F462"/>
      <c r="G462"/>
      <c r="H462"/>
      <c r="I462"/>
      <c r="J462"/>
      <c r="K462"/>
      <c r="L462"/>
      <c r="M462" s="18" t="s">
        <v>209</v>
      </c>
      <c r="N462" t="s">
        <v>1147</v>
      </c>
      <c r="O462" t="s">
        <v>23</v>
      </c>
      <c r="P462" s="1" t="s">
        <v>654</v>
      </c>
      <c r="Q462" s="13" t="s">
        <v>25</v>
      </c>
      <c r="R462">
        <v>2</v>
      </c>
      <c r="S462">
        <v>5000</v>
      </c>
      <c r="T462"/>
      <c r="U462" s="9"/>
      <c r="V462" s="9"/>
      <c r="W462" s="9"/>
      <c r="X462" s="9"/>
    </row>
    <row r="463" spans="1:24">
      <c r="A463" s="13" t="s">
        <v>19</v>
      </c>
      <c r="B463" s="1"/>
      <c r="C463" s="1" t="s">
        <v>32</v>
      </c>
      <c r="D463" s="3">
        <v>10000</v>
      </c>
      <c r="E463"/>
      <c r="F463"/>
      <c r="G463"/>
      <c r="H463"/>
      <c r="I463"/>
      <c r="J463"/>
      <c r="K463"/>
      <c r="L463"/>
      <c r="M463" s="18" t="s">
        <v>209</v>
      </c>
      <c r="N463" t="s">
        <v>1147</v>
      </c>
      <c r="O463" t="s">
        <v>23</v>
      </c>
      <c r="P463" s="1" t="s">
        <v>655</v>
      </c>
      <c r="Q463" s="13" t="s">
        <v>25</v>
      </c>
      <c r="R463">
        <v>2</v>
      </c>
      <c r="S463">
        <v>5000</v>
      </c>
      <c r="T463"/>
      <c r="U463" s="9"/>
      <c r="V463" s="9"/>
      <c r="W463" s="9"/>
      <c r="X463" s="9"/>
    </row>
    <row r="464" spans="1:24">
      <c r="A464" s="13"/>
      <c r="B464" s="1"/>
      <c r="C464" s="1"/>
      <c r="D464" s="3" t="str">
        <f>SUBTOTAL(9,D452:D463)</f>
        <v>0</v>
      </c>
      <c r="E464"/>
      <c r="F464"/>
      <c r="G464"/>
      <c r="H464"/>
      <c r="I464"/>
      <c r="J464"/>
      <c r="K464"/>
      <c r="L464"/>
      <c r="M464" s="18" t="s">
        <v>210</v>
      </c>
      <c r="N464" t="s">
        <v>1451</v>
      </c>
      <c r="O464" t="s">
        <v>23</v>
      </c>
      <c r="P464" s="1"/>
      <c r="Q464" s="13"/>
      <c r="R464"/>
      <c r="S464"/>
      <c r="T464"/>
      <c r="U464" s="9"/>
      <c r="V464" s="9"/>
      <c r="W464" s="9"/>
      <c r="X464" s="9"/>
    </row>
    <row r="465" spans="1:24">
      <c r="A465" s="13" t="s">
        <v>19</v>
      </c>
      <c r="B465" s="1"/>
      <c r="C465" s="1" t="s">
        <v>20</v>
      </c>
      <c r="D465" s="3">
        <v>90000</v>
      </c>
      <c r="E465"/>
      <c r="F465"/>
      <c r="G465"/>
      <c r="H465"/>
      <c r="I465"/>
      <c r="J465"/>
      <c r="K465"/>
      <c r="L465"/>
      <c r="M465" s="18" t="s">
        <v>211</v>
      </c>
      <c r="N465" t="s">
        <v>1169</v>
      </c>
      <c r="O465" t="s">
        <v>1395</v>
      </c>
      <c r="P465" s="1" t="s">
        <v>542</v>
      </c>
      <c r="Q465" s="13" t="s">
        <v>25</v>
      </c>
      <c r="R465">
        <v>3</v>
      </c>
      <c r="S465">
        <v>30000</v>
      </c>
      <c r="T465"/>
      <c r="U465" s="9"/>
      <c r="V465" s="9"/>
      <c r="W465" s="9"/>
      <c r="X465" s="9"/>
    </row>
    <row r="466" spans="1:24">
      <c r="A466" s="13" t="s">
        <v>19</v>
      </c>
      <c r="B466" s="1"/>
      <c r="C466" s="1" t="s">
        <v>20</v>
      </c>
      <c r="D466" s="3">
        <v>90000</v>
      </c>
      <c r="E466"/>
      <c r="F466"/>
      <c r="G466"/>
      <c r="H466"/>
      <c r="I466"/>
      <c r="J466"/>
      <c r="K466"/>
      <c r="L466"/>
      <c r="M466" s="18" t="s">
        <v>211</v>
      </c>
      <c r="N466" t="s">
        <v>1169</v>
      </c>
      <c r="O466" t="s">
        <v>1395</v>
      </c>
      <c r="P466" s="1" t="s">
        <v>561</v>
      </c>
      <c r="Q466" s="13" t="s">
        <v>25</v>
      </c>
      <c r="R466">
        <v>3</v>
      </c>
      <c r="S466">
        <v>30000</v>
      </c>
      <c r="T466"/>
      <c r="U466" s="9"/>
      <c r="V466" s="9"/>
      <c r="W466" s="9"/>
      <c r="X466" s="9"/>
    </row>
    <row r="467" spans="1:24">
      <c r="A467" s="13" t="s">
        <v>19</v>
      </c>
      <c r="B467" s="1"/>
      <c r="C467" s="1" t="s">
        <v>20</v>
      </c>
      <c r="D467" s="3">
        <v>60000</v>
      </c>
      <c r="E467"/>
      <c r="F467"/>
      <c r="G467"/>
      <c r="H467"/>
      <c r="I467"/>
      <c r="J467"/>
      <c r="K467"/>
      <c r="L467"/>
      <c r="M467" s="18" t="s">
        <v>211</v>
      </c>
      <c r="N467" t="s">
        <v>1169</v>
      </c>
      <c r="O467" t="s">
        <v>1395</v>
      </c>
      <c r="P467" s="1" t="s">
        <v>496</v>
      </c>
      <c r="Q467" s="13" t="s">
        <v>25</v>
      </c>
      <c r="R467">
        <v>2</v>
      </c>
      <c r="S467">
        <v>30000</v>
      </c>
      <c r="T467"/>
      <c r="U467" s="9"/>
      <c r="V467" s="9"/>
      <c r="W467" s="9"/>
      <c r="X467" s="9"/>
    </row>
    <row r="468" spans="1:24">
      <c r="A468" s="13" t="s">
        <v>19</v>
      </c>
      <c r="B468" s="1"/>
      <c r="C468" s="1" t="s">
        <v>20</v>
      </c>
      <c r="D468" s="3">
        <v>90000</v>
      </c>
      <c r="E468"/>
      <c r="F468"/>
      <c r="G468"/>
      <c r="H468"/>
      <c r="I468"/>
      <c r="J468"/>
      <c r="K468"/>
      <c r="L468"/>
      <c r="M468" s="18" t="s">
        <v>211</v>
      </c>
      <c r="N468" t="s">
        <v>1169</v>
      </c>
      <c r="O468" t="s">
        <v>1395</v>
      </c>
      <c r="P468" s="1" t="s">
        <v>656</v>
      </c>
      <c r="Q468" s="13" t="s">
        <v>25</v>
      </c>
      <c r="R468">
        <v>3</v>
      </c>
      <c r="S468">
        <v>30000</v>
      </c>
      <c r="T468"/>
      <c r="U468" s="9"/>
      <c r="V468" s="9"/>
      <c r="W468" s="9"/>
      <c r="X468" s="9"/>
    </row>
    <row r="469" spans="1:24">
      <c r="A469" s="13" t="s">
        <v>19</v>
      </c>
      <c r="B469" s="1"/>
      <c r="C469" s="1" t="s">
        <v>29</v>
      </c>
      <c r="D469" s="3">
        <v>15000</v>
      </c>
      <c r="E469"/>
      <c r="F469"/>
      <c r="G469"/>
      <c r="H469"/>
      <c r="I469"/>
      <c r="J469"/>
      <c r="K469"/>
      <c r="L469"/>
      <c r="M469" s="18" t="s">
        <v>211</v>
      </c>
      <c r="N469" t="s">
        <v>1169</v>
      </c>
      <c r="O469" t="s">
        <v>1395</v>
      </c>
      <c r="P469" s="1" t="s">
        <v>543</v>
      </c>
      <c r="Q469" s="13" t="s">
        <v>25</v>
      </c>
      <c r="R469">
        <v>3</v>
      </c>
      <c r="S469">
        <v>5000</v>
      </c>
      <c r="T469"/>
      <c r="U469" s="9"/>
      <c r="V469" s="9"/>
      <c r="W469" s="9"/>
      <c r="X469" s="9"/>
    </row>
    <row r="470" spans="1:24">
      <c r="A470" s="13" t="s">
        <v>19</v>
      </c>
      <c r="B470" s="1"/>
      <c r="C470" s="1" t="s">
        <v>29</v>
      </c>
      <c r="D470" s="3">
        <v>15000</v>
      </c>
      <c r="E470"/>
      <c r="F470"/>
      <c r="G470"/>
      <c r="H470"/>
      <c r="I470"/>
      <c r="J470"/>
      <c r="K470"/>
      <c r="L470"/>
      <c r="M470" s="18" t="s">
        <v>211</v>
      </c>
      <c r="N470" t="s">
        <v>1169</v>
      </c>
      <c r="O470" t="s">
        <v>1395</v>
      </c>
      <c r="P470" s="1" t="s">
        <v>563</v>
      </c>
      <c r="Q470" s="13" t="s">
        <v>25</v>
      </c>
      <c r="R470">
        <v>3</v>
      </c>
      <c r="S470">
        <v>5000</v>
      </c>
      <c r="T470"/>
      <c r="U470" s="9"/>
      <c r="V470" s="9"/>
      <c r="W470" s="9"/>
      <c r="X470" s="9"/>
    </row>
    <row r="471" spans="1:24">
      <c r="A471" s="13" t="s">
        <v>19</v>
      </c>
      <c r="B471" s="1"/>
      <c r="C471" s="1" t="s">
        <v>29</v>
      </c>
      <c r="D471" s="3">
        <v>10000</v>
      </c>
      <c r="E471"/>
      <c r="F471"/>
      <c r="G471"/>
      <c r="H471"/>
      <c r="I471"/>
      <c r="J471"/>
      <c r="K471"/>
      <c r="L471"/>
      <c r="M471" s="18" t="s">
        <v>211</v>
      </c>
      <c r="N471" t="s">
        <v>1169</v>
      </c>
      <c r="O471" t="s">
        <v>1395</v>
      </c>
      <c r="P471" s="1" t="s">
        <v>500</v>
      </c>
      <c r="Q471" s="13" t="s">
        <v>25</v>
      </c>
      <c r="R471">
        <v>2</v>
      </c>
      <c r="S471">
        <v>5000</v>
      </c>
      <c r="T471"/>
      <c r="U471" s="9"/>
      <c r="V471" s="9"/>
      <c r="W471" s="9"/>
      <c r="X471" s="9"/>
    </row>
    <row r="472" spans="1:24">
      <c r="A472" s="13" t="s">
        <v>19</v>
      </c>
      <c r="B472" s="1"/>
      <c r="C472" s="1" t="s">
        <v>29</v>
      </c>
      <c r="D472" s="3">
        <v>15000</v>
      </c>
      <c r="E472"/>
      <c r="F472"/>
      <c r="G472"/>
      <c r="H472"/>
      <c r="I472"/>
      <c r="J472"/>
      <c r="K472"/>
      <c r="L472"/>
      <c r="M472" s="18" t="s">
        <v>211</v>
      </c>
      <c r="N472" t="s">
        <v>1169</v>
      </c>
      <c r="O472" t="s">
        <v>1395</v>
      </c>
      <c r="P472" s="1" t="s">
        <v>657</v>
      </c>
      <c r="Q472" s="13" t="s">
        <v>25</v>
      </c>
      <c r="R472">
        <v>3</v>
      </c>
      <c r="S472">
        <v>5000</v>
      </c>
      <c r="T472"/>
      <c r="U472" s="9"/>
      <c r="V472" s="9"/>
      <c r="W472" s="9"/>
      <c r="X472" s="9"/>
    </row>
    <row r="473" spans="1:24">
      <c r="A473" s="13"/>
      <c r="B473" s="1"/>
      <c r="C473" s="1"/>
      <c r="D473" s="3" t="str">
        <f>SUBTOTAL(9,D465:D472)</f>
        <v>0</v>
      </c>
      <c r="E473"/>
      <c r="F473"/>
      <c r="G473"/>
      <c r="H473"/>
      <c r="I473"/>
      <c r="J473"/>
      <c r="K473"/>
      <c r="L473"/>
      <c r="M473" s="18" t="s">
        <v>212</v>
      </c>
      <c r="N473" t="s">
        <v>1452</v>
      </c>
      <c r="O473" t="s">
        <v>1395</v>
      </c>
      <c r="P473" s="1"/>
      <c r="Q473" s="13"/>
      <c r="R473"/>
      <c r="S473"/>
      <c r="T473"/>
      <c r="U473" s="9"/>
      <c r="V473" s="9"/>
      <c r="W473" s="9"/>
      <c r="X473" s="9"/>
    </row>
    <row r="474" spans="1:24">
      <c r="A474" s="13" t="s">
        <v>19</v>
      </c>
      <c r="B474" s="1"/>
      <c r="C474" s="1" t="s">
        <v>20</v>
      </c>
      <c r="D474" s="3">
        <v>22000</v>
      </c>
      <c r="E474"/>
      <c r="F474"/>
      <c r="G474"/>
      <c r="H474"/>
      <c r="I474"/>
      <c r="J474"/>
      <c r="K474"/>
      <c r="L474"/>
      <c r="M474" s="18" t="s">
        <v>213</v>
      </c>
      <c r="N474" t="s">
        <v>1240</v>
      </c>
      <c r="O474" t="s">
        <v>94</v>
      </c>
      <c r="P474" s="1" t="s">
        <v>24</v>
      </c>
      <c r="Q474" s="13" t="s">
        <v>1018</v>
      </c>
      <c r="R474">
        <v>1</v>
      </c>
      <c r="S474">
        <v>22000</v>
      </c>
      <c r="T474"/>
      <c r="U474" s="9"/>
      <c r="V474" s="9"/>
      <c r="W474" s="9"/>
      <c r="X474" s="9"/>
    </row>
    <row r="475" spans="1:24">
      <c r="A475" s="13" t="s">
        <v>19</v>
      </c>
      <c r="B475" s="1"/>
      <c r="C475" s="1" t="s">
        <v>20</v>
      </c>
      <c r="D475" s="3">
        <v>44000</v>
      </c>
      <c r="E475"/>
      <c r="F475"/>
      <c r="G475"/>
      <c r="H475"/>
      <c r="I475"/>
      <c r="J475"/>
      <c r="K475"/>
      <c r="L475"/>
      <c r="M475" s="18" t="s">
        <v>213</v>
      </c>
      <c r="N475" t="s">
        <v>1240</v>
      </c>
      <c r="O475" t="s">
        <v>94</v>
      </c>
      <c r="P475" s="1" t="s">
        <v>24</v>
      </c>
      <c r="Q475" s="13" t="s">
        <v>1018</v>
      </c>
      <c r="R475">
        <v>2</v>
      </c>
      <c r="S475">
        <v>22000</v>
      </c>
      <c r="T475"/>
      <c r="U475" s="9"/>
      <c r="V475" s="9"/>
      <c r="W475" s="9"/>
      <c r="X475" s="9"/>
    </row>
    <row r="476" spans="1:24">
      <c r="A476" s="13" t="s">
        <v>19</v>
      </c>
      <c r="B476" s="1"/>
      <c r="C476" s="1" t="s">
        <v>29</v>
      </c>
      <c r="D476" s="3">
        <v>5000</v>
      </c>
      <c r="E476"/>
      <c r="F476"/>
      <c r="G476"/>
      <c r="H476"/>
      <c r="I476"/>
      <c r="J476"/>
      <c r="K476"/>
      <c r="L476"/>
      <c r="M476" s="18" t="s">
        <v>213</v>
      </c>
      <c r="N476" t="s">
        <v>1240</v>
      </c>
      <c r="O476" t="s">
        <v>94</v>
      </c>
      <c r="P476" s="1" t="s">
        <v>30</v>
      </c>
      <c r="Q476" s="13" t="s">
        <v>1018</v>
      </c>
      <c r="R476">
        <v>1</v>
      </c>
      <c r="S476">
        <v>5000</v>
      </c>
      <c r="T476"/>
      <c r="U476" s="9"/>
      <c r="V476" s="9"/>
      <c r="W476" s="9"/>
      <c r="X476" s="9"/>
    </row>
    <row r="477" spans="1:24">
      <c r="A477" s="13" t="s">
        <v>19</v>
      </c>
      <c r="B477" s="1"/>
      <c r="C477" s="1" t="s">
        <v>29</v>
      </c>
      <c r="D477" s="3">
        <v>10000</v>
      </c>
      <c r="E477"/>
      <c r="F477"/>
      <c r="G477"/>
      <c r="H477"/>
      <c r="I477"/>
      <c r="J477"/>
      <c r="K477"/>
      <c r="L477"/>
      <c r="M477" s="18" t="s">
        <v>213</v>
      </c>
      <c r="N477" t="s">
        <v>1240</v>
      </c>
      <c r="O477" t="s">
        <v>94</v>
      </c>
      <c r="P477" s="1" t="s">
        <v>30</v>
      </c>
      <c r="Q477" s="13" t="s">
        <v>1018</v>
      </c>
      <c r="R477">
        <v>2</v>
      </c>
      <c r="S477">
        <v>5000</v>
      </c>
      <c r="T477"/>
      <c r="U477" s="9"/>
      <c r="V477" s="9"/>
      <c r="W477" s="9"/>
      <c r="X477" s="9"/>
    </row>
    <row r="478" spans="1:24">
      <c r="A478" s="13"/>
      <c r="B478" s="1"/>
      <c r="C478" s="1"/>
      <c r="D478" s="3" t="str">
        <f>SUBTOTAL(9,D474:D477)</f>
        <v>0</v>
      </c>
      <c r="E478"/>
      <c r="F478"/>
      <c r="G478"/>
      <c r="H478"/>
      <c r="I478"/>
      <c r="J478"/>
      <c r="K478"/>
      <c r="L478"/>
      <c r="M478" s="18" t="s">
        <v>214</v>
      </c>
      <c r="N478" t="s">
        <v>1453</v>
      </c>
      <c r="O478" t="s">
        <v>94</v>
      </c>
      <c r="P478" s="1"/>
      <c r="Q478" s="13"/>
      <c r="R478"/>
      <c r="S478"/>
      <c r="T478"/>
      <c r="U478" s="9"/>
      <c r="V478" s="9"/>
      <c r="W478" s="9"/>
      <c r="X478" s="9"/>
    </row>
    <row r="479" spans="1:24">
      <c r="A479" s="13" t="s">
        <v>19</v>
      </c>
      <c r="B479" s="1"/>
      <c r="C479" s="1" t="s">
        <v>20</v>
      </c>
      <c r="D479" s="3">
        <v>192000</v>
      </c>
      <c r="E479"/>
      <c r="F479"/>
      <c r="G479"/>
      <c r="H479"/>
      <c r="I479"/>
      <c r="J479"/>
      <c r="K479"/>
      <c r="L479"/>
      <c r="M479" s="18" t="s">
        <v>215</v>
      </c>
      <c r="N479" t="s">
        <v>1257</v>
      </c>
      <c r="O479" t="s">
        <v>98</v>
      </c>
      <c r="P479" s="1" t="s">
        <v>24</v>
      </c>
      <c r="Q479" s="13" t="s">
        <v>25</v>
      </c>
      <c r="R479">
        <v>6</v>
      </c>
      <c r="S479">
        <v>32000</v>
      </c>
      <c r="T479"/>
      <c r="U479" s="9"/>
      <c r="V479" s="9"/>
      <c r="W479" s="9"/>
      <c r="X479" s="9"/>
    </row>
    <row r="480" spans="1:24">
      <c r="A480" s="13" t="s">
        <v>19</v>
      </c>
      <c r="B480" s="1"/>
      <c r="C480" s="1" t="s">
        <v>20</v>
      </c>
      <c r="D480" s="3">
        <v>256000</v>
      </c>
      <c r="E480"/>
      <c r="F480"/>
      <c r="G480"/>
      <c r="H480"/>
      <c r="I480"/>
      <c r="J480"/>
      <c r="K480"/>
      <c r="L480"/>
      <c r="M480" s="18" t="s">
        <v>215</v>
      </c>
      <c r="N480" t="s">
        <v>1257</v>
      </c>
      <c r="O480" t="s">
        <v>98</v>
      </c>
      <c r="P480" s="1" t="s">
        <v>24</v>
      </c>
      <c r="Q480" s="13" t="s">
        <v>25</v>
      </c>
      <c r="R480">
        <v>8</v>
      </c>
      <c r="S480">
        <v>32000</v>
      </c>
      <c r="T480"/>
      <c r="U480" s="9"/>
      <c r="V480" s="9"/>
      <c r="W480" s="9"/>
      <c r="X480" s="9"/>
    </row>
    <row r="481" spans="1:24">
      <c r="A481" s="13" t="s">
        <v>19</v>
      </c>
      <c r="B481" s="1"/>
      <c r="C481" s="1" t="s">
        <v>26</v>
      </c>
      <c r="D481" s="3">
        <v>32000</v>
      </c>
      <c r="E481"/>
      <c r="F481"/>
      <c r="G481"/>
      <c r="H481"/>
      <c r="I481"/>
      <c r="J481"/>
      <c r="K481"/>
      <c r="L481"/>
      <c r="M481" s="18" t="s">
        <v>215</v>
      </c>
      <c r="N481" t="s">
        <v>1257</v>
      </c>
      <c r="O481" t="s">
        <v>98</v>
      </c>
      <c r="P481" s="1" t="s">
        <v>512</v>
      </c>
      <c r="Q481" s="13" t="s">
        <v>25</v>
      </c>
      <c r="R481">
        <v>1</v>
      </c>
      <c r="S481">
        <v>32000</v>
      </c>
      <c r="T481"/>
      <c r="U481" s="9"/>
      <c r="V481" s="9"/>
      <c r="W481" s="9"/>
      <c r="X481" s="9"/>
    </row>
    <row r="482" spans="1:24">
      <c r="A482" s="13" t="s">
        <v>19</v>
      </c>
      <c r="B482" s="1"/>
      <c r="C482" s="1" t="s">
        <v>26</v>
      </c>
      <c r="D482" s="3">
        <v>96000</v>
      </c>
      <c r="E482"/>
      <c r="F482"/>
      <c r="G482"/>
      <c r="H482"/>
      <c r="I482"/>
      <c r="J482"/>
      <c r="K482"/>
      <c r="L482"/>
      <c r="M482" s="18" t="s">
        <v>215</v>
      </c>
      <c r="N482" t="s">
        <v>1257</v>
      </c>
      <c r="O482" t="s">
        <v>98</v>
      </c>
      <c r="P482" s="1" t="s">
        <v>512</v>
      </c>
      <c r="Q482" s="13" t="s">
        <v>25</v>
      </c>
      <c r="R482">
        <v>3</v>
      </c>
      <c r="S482">
        <v>32000</v>
      </c>
      <c r="T482"/>
      <c r="U482" s="9"/>
      <c r="V482" s="9"/>
      <c r="W482" s="9"/>
      <c r="X482" s="9"/>
    </row>
    <row r="483" spans="1:24">
      <c r="A483" s="13" t="s">
        <v>19</v>
      </c>
      <c r="B483" s="1"/>
      <c r="C483" s="1" t="s">
        <v>26</v>
      </c>
      <c r="D483" s="3">
        <v>74000</v>
      </c>
      <c r="E483"/>
      <c r="F483"/>
      <c r="G483"/>
      <c r="H483"/>
      <c r="I483"/>
      <c r="J483"/>
      <c r="K483"/>
      <c r="L483"/>
      <c r="M483" s="18" t="s">
        <v>215</v>
      </c>
      <c r="N483" t="s">
        <v>1257</v>
      </c>
      <c r="O483" t="s">
        <v>98</v>
      </c>
      <c r="P483" s="1" t="s">
        <v>658</v>
      </c>
      <c r="Q483" s="13" t="s">
        <v>25</v>
      </c>
      <c r="R483">
        <v>2</v>
      </c>
      <c r="S483">
        <v>37000</v>
      </c>
      <c r="T483"/>
      <c r="U483" s="9"/>
      <c r="V483" s="9"/>
      <c r="W483" s="9"/>
      <c r="X483" s="9"/>
    </row>
    <row r="484" spans="1:24">
      <c r="A484" s="13" t="s">
        <v>19</v>
      </c>
      <c r="B484" s="1"/>
      <c r="C484" s="1" t="s">
        <v>26</v>
      </c>
      <c r="D484" s="3">
        <v>37000</v>
      </c>
      <c r="E484"/>
      <c r="F484"/>
      <c r="G484"/>
      <c r="H484"/>
      <c r="I484"/>
      <c r="J484"/>
      <c r="K484"/>
      <c r="L484"/>
      <c r="M484" s="18" t="s">
        <v>215</v>
      </c>
      <c r="N484" t="s">
        <v>1257</v>
      </c>
      <c r="O484" t="s">
        <v>98</v>
      </c>
      <c r="P484" s="1" t="s">
        <v>659</v>
      </c>
      <c r="Q484" s="13" t="s">
        <v>25</v>
      </c>
      <c r="R484">
        <v>1</v>
      </c>
      <c r="S484">
        <v>37000</v>
      </c>
      <c r="T484"/>
      <c r="U484" s="9"/>
      <c r="V484" s="9"/>
      <c r="W484" s="9"/>
      <c r="X484" s="9"/>
    </row>
    <row r="485" spans="1:24">
      <c r="A485" s="13" t="s">
        <v>19</v>
      </c>
      <c r="B485" s="1"/>
      <c r="C485" s="1" t="s">
        <v>29</v>
      </c>
      <c r="D485" s="3">
        <v>30000</v>
      </c>
      <c r="E485"/>
      <c r="F485"/>
      <c r="G485"/>
      <c r="H485"/>
      <c r="I485"/>
      <c r="J485"/>
      <c r="K485"/>
      <c r="L485"/>
      <c r="M485" s="18" t="s">
        <v>215</v>
      </c>
      <c r="N485" t="s">
        <v>1257</v>
      </c>
      <c r="O485" t="s">
        <v>98</v>
      </c>
      <c r="P485" s="1" t="s">
        <v>30</v>
      </c>
      <c r="Q485" s="13" t="s">
        <v>25</v>
      </c>
      <c r="R485">
        <v>6</v>
      </c>
      <c r="S485">
        <v>5000</v>
      </c>
      <c r="T485"/>
      <c r="U485" s="9"/>
      <c r="V485" s="9"/>
      <c r="W485" s="9"/>
      <c r="X485" s="9"/>
    </row>
    <row r="486" spans="1:24">
      <c r="A486" s="13" t="s">
        <v>19</v>
      </c>
      <c r="B486" s="1"/>
      <c r="C486" s="1" t="s">
        <v>29</v>
      </c>
      <c r="D486" s="3">
        <v>40000</v>
      </c>
      <c r="E486"/>
      <c r="F486"/>
      <c r="G486"/>
      <c r="H486"/>
      <c r="I486"/>
      <c r="J486"/>
      <c r="K486"/>
      <c r="L486"/>
      <c r="M486" s="18" t="s">
        <v>215</v>
      </c>
      <c r="N486" t="s">
        <v>1257</v>
      </c>
      <c r="O486" t="s">
        <v>98</v>
      </c>
      <c r="P486" s="1" t="s">
        <v>30</v>
      </c>
      <c r="Q486" s="13" t="s">
        <v>25</v>
      </c>
      <c r="R486">
        <v>8</v>
      </c>
      <c r="S486">
        <v>5000</v>
      </c>
      <c r="T486"/>
      <c r="U486" s="9"/>
      <c r="V486" s="9"/>
      <c r="W486" s="9"/>
      <c r="X486" s="9"/>
    </row>
    <row r="487" spans="1:24">
      <c r="A487" s="13" t="s">
        <v>19</v>
      </c>
      <c r="B487" s="1"/>
      <c r="C487" s="1" t="s">
        <v>32</v>
      </c>
      <c r="D487" s="3">
        <v>5000</v>
      </c>
      <c r="E487"/>
      <c r="F487"/>
      <c r="G487"/>
      <c r="H487"/>
      <c r="I487"/>
      <c r="J487"/>
      <c r="K487"/>
      <c r="L487"/>
      <c r="M487" s="18" t="s">
        <v>215</v>
      </c>
      <c r="N487" t="s">
        <v>1257</v>
      </c>
      <c r="O487" t="s">
        <v>98</v>
      </c>
      <c r="P487" s="1" t="s">
        <v>515</v>
      </c>
      <c r="Q487" s="13" t="s">
        <v>25</v>
      </c>
      <c r="R487">
        <v>1</v>
      </c>
      <c r="S487">
        <v>5000</v>
      </c>
      <c r="T487"/>
      <c r="U487" s="9"/>
      <c r="V487" s="9"/>
      <c r="W487" s="9"/>
      <c r="X487" s="9"/>
    </row>
    <row r="488" spans="1:24">
      <c r="A488" s="13" t="s">
        <v>19</v>
      </c>
      <c r="B488" s="1"/>
      <c r="C488" s="1" t="s">
        <v>32</v>
      </c>
      <c r="D488" s="3">
        <v>15000</v>
      </c>
      <c r="E488"/>
      <c r="F488"/>
      <c r="G488"/>
      <c r="H488"/>
      <c r="I488"/>
      <c r="J488"/>
      <c r="K488"/>
      <c r="L488"/>
      <c r="M488" s="18" t="s">
        <v>215</v>
      </c>
      <c r="N488" t="s">
        <v>1257</v>
      </c>
      <c r="O488" t="s">
        <v>98</v>
      </c>
      <c r="P488" s="1" t="s">
        <v>515</v>
      </c>
      <c r="Q488" s="13" t="s">
        <v>25</v>
      </c>
      <c r="R488">
        <v>3</v>
      </c>
      <c r="S488">
        <v>5000</v>
      </c>
      <c r="T488"/>
      <c r="U488" s="9"/>
      <c r="V488" s="9"/>
      <c r="W488" s="9"/>
      <c r="X488" s="9"/>
    </row>
    <row r="489" spans="1:24">
      <c r="A489" s="13" t="s">
        <v>19</v>
      </c>
      <c r="B489" s="1"/>
      <c r="C489" s="1" t="s">
        <v>32</v>
      </c>
      <c r="D489" s="3">
        <v>10000</v>
      </c>
      <c r="E489"/>
      <c r="F489"/>
      <c r="G489"/>
      <c r="H489"/>
      <c r="I489"/>
      <c r="J489"/>
      <c r="K489"/>
      <c r="L489"/>
      <c r="M489" s="18" t="s">
        <v>215</v>
      </c>
      <c r="N489" t="s">
        <v>1257</v>
      </c>
      <c r="O489" t="s">
        <v>98</v>
      </c>
      <c r="P489" s="1" t="s">
        <v>660</v>
      </c>
      <c r="Q489" s="13" t="s">
        <v>25</v>
      </c>
      <c r="R489">
        <v>2</v>
      </c>
      <c r="S489">
        <v>5000</v>
      </c>
      <c r="T489"/>
      <c r="U489" s="9"/>
      <c r="V489" s="9"/>
      <c r="W489" s="9"/>
      <c r="X489" s="9"/>
    </row>
    <row r="490" spans="1:24">
      <c r="A490" s="13" t="s">
        <v>19</v>
      </c>
      <c r="B490" s="1"/>
      <c r="C490" s="1" t="s">
        <v>32</v>
      </c>
      <c r="D490" s="3">
        <v>5000</v>
      </c>
      <c r="E490"/>
      <c r="F490"/>
      <c r="G490"/>
      <c r="H490"/>
      <c r="I490"/>
      <c r="J490"/>
      <c r="K490"/>
      <c r="L490"/>
      <c r="M490" s="18" t="s">
        <v>215</v>
      </c>
      <c r="N490" t="s">
        <v>1257</v>
      </c>
      <c r="O490" t="s">
        <v>98</v>
      </c>
      <c r="P490" s="1" t="s">
        <v>661</v>
      </c>
      <c r="Q490" s="13" t="s">
        <v>25</v>
      </c>
      <c r="R490">
        <v>1</v>
      </c>
      <c r="S490">
        <v>5000</v>
      </c>
      <c r="T490"/>
      <c r="U490" s="9"/>
      <c r="V490" s="9"/>
      <c r="W490" s="9"/>
      <c r="X490" s="9"/>
    </row>
    <row r="491" spans="1:24">
      <c r="A491" s="13"/>
      <c r="B491" s="1"/>
      <c r="C491" s="1"/>
      <c r="D491" s="3" t="str">
        <f>SUBTOTAL(9,D479:D490)</f>
        <v>0</v>
      </c>
      <c r="E491"/>
      <c r="F491"/>
      <c r="G491"/>
      <c r="H491"/>
      <c r="I491"/>
      <c r="J491"/>
      <c r="K491"/>
      <c r="L491"/>
      <c r="M491" s="18" t="s">
        <v>216</v>
      </c>
      <c r="N491" t="s">
        <v>1454</v>
      </c>
      <c r="O491" t="s">
        <v>98</v>
      </c>
      <c r="P491" s="1"/>
      <c r="Q491" s="13"/>
      <c r="R491"/>
      <c r="S491"/>
      <c r="T491"/>
      <c r="U491" s="9"/>
      <c r="V491" s="9"/>
      <c r="W491" s="9"/>
      <c r="X491" s="9"/>
    </row>
    <row r="492" spans="1:24">
      <c r="A492" s="13" t="s">
        <v>19</v>
      </c>
      <c r="B492" s="1"/>
      <c r="C492" s="1" t="s">
        <v>20</v>
      </c>
      <c r="D492" s="3">
        <v>64000</v>
      </c>
      <c r="E492"/>
      <c r="F492"/>
      <c r="G492"/>
      <c r="H492"/>
      <c r="I492"/>
      <c r="J492"/>
      <c r="K492"/>
      <c r="L492"/>
      <c r="M492" s="18" t="s">
        <v>217</v>
      </c>
      <c r="N492" t="s">
        <v>1310</v>
      </c>
      <c r="O492" t="s">
        <v>23</v>
      </c>
      <c r="P492" s="1" t="s">
        <v>24</v>
      </c>
      <c r="Q492" s="13" t="s">
        <v>25</v>
      </c>
      <c r="R492">
        <v>2</v>
      </c>
      <c r="S492">
        <v>32000</v>
      </c>
      <c r="T492"/>
      <c r="U492" s="9"/>
      <c r="V492" s="9"/>
      <c r="W492" s="9"/>
      <c r="X492" s="9"/>
    </row>
    <row r="493" spans="1:24">
      <c r="A493" s="13" t="s">
        <v>19</v>
      </c>
      <c r="B493" s="1"/>
      <c r="C493" s="1" t="s">
        <v>26</v>
      </c>
      <c r="D493" s="3">
        <v>37000</v>
      </c>
      <c r="E493"/>
      <c r="F493"/>
      <c r="G493"/>
      <c r="H493"/>
      <c r="I493"/>
      <c r="J493"/>
      <c r="K493"/>
      <c r="L493"/>
      <c r="M493" s="18" t="s">
        <v>217</v>
      </c>
      <c r="N493" t="s">
        <v>1310</v>
      </c>
      <c r="O493" t="s">
        <v>23</v>
      </c>
      <c r="P493" s="1" t="s">
        <v>662</v>
      </c>
      <c r="Q493" s="13" t="s">
        <v>25</v>
      </c>
      <c r="R493">
        <v>1</v>
      </c>
      <c r="S493">
        <v>37000</v>
      </c>
      <c r="T493"/>
      <c r="U493" s="9"/>
      <c r="V493" s="9"/>
      <c r="W493" s="9"/>
      <c r="X493" s="9"/>
    </row>
    <row r="494" spans="1:24">
      <c r="A494" s="13" t="s">
        <v>19</v>
      </c>
      <c r="B494" s="1"/>
      <c r="C494" s="1" t="s">
        <v>29</v>
      </c>
      <c r="D494" s="3">
        <v>10000</v>
      </c>
      <c r="E494"/>
      <c r="F494"/>
      <c r="G494"/>
      <c r="H494"/>
      <c r="I494"/>
      <c r="J494"/>
      <c r="K494"/>
      <c r="L494"/>
      <c r="M494" s="18" t="s">
        <v>217</v>
      </c>
      <c r="N494" t="s">
        <v>1310</v>
      </c>
      <c r="O494" t="s">
        <v>23</v>
      </c>
      <c r="P494" s="1" t="s">
        <v>30</v>
      </c>
      <c r="Q494" s="13" t="s">
        <v>25</v>
      </c>
      <c r="R494">
        <v>2</v>
      </c>
      <c r="S494">
        <v>5000</v>
      </c>
      <c r="T494"/>
      <c r="U494" s="9"/>
      <c r="V494" s="9"/>
      <c r="W494" s="9"/>
      <c r="X494" s="9"/>
    </row>
    <row r="495" spans="1:24">
      <c r="A495" s="13" t="s">
        <v>19</v>
      </c>
      <c r="B495" s="1"/>
      <c r="C495" s="1" t="s">
        <v>32</v>
      </c>
      <c r="D495" s="3">
        <v>5000</v>
      </c>
      <c r="E495"/>
      <c r="F495"/>
      <c r="G495"/>
      <c r="H495"/>
      <c r="I495"/>
      <c r="J495"/>
      <c r="K495"/>
      <c r="L495"/>
      <c r="M495" s="18" t="s">
        <v>217</v>
      </c>
      <c r="N495" t="s">
        <v>1310</v>
      </c>
      <c r="O495" t="s">
        <v>23</v>
      </c>
      <c r="P495" s="1" t="s">
        <v>663</v>
      </c>
      <c r="Q495" s="13" t="s">
        <v>25</v>
      </c>
      <c r="R495">
        <v>1</v>
      </c>
      <c r="S495">
        <v>5000</v>
      </c>
      <c r="T495"/>
      <c r="U495" s="9"/>
      <c r="V495" s="9"/>
      <c r="W495" s="9"/>
      <c r="X495" s="9"/>
    </row>
    <row r="496" spans="1:24">
      <c r="A496" s="13"/>
      <c r="B496" s="1"/>
      <c r="C496" s="1"/>
      <c r="D496" s="3" t="str">
        <f>SUBTOTAL(9,D492:D495)</f>
        <v>0</v>
      </c>
      <c r="E496"/>
      <c r="F496"/>
      <c r="G496"/>
      <c r="H496"/>
      <c r="I496"/>
      <c r="J496"/>
      <c r="K496"/>
      <c r="L496"/>
      <c r="M496" s="18" t="s">
        <v>218</v>
      </c>
      <c r="N496" t="s">
        <v>1455</v>
      </c>
      <c r="O496" t="s">
        <v>23</v>
      </c>
      <c r="P496" s="1"/>
      <c r="Q496" s="13"/>
      <c r="R496"/>
      <c r="S496"/>
      <c r="T496"/>
      <c r="U496" s="9"/>
      <c r="V496" s="9"/>
      <c r="W496" s="9"/>
      <c r="X496" s="9"/>
    </row>
    <row r="497" spans="1:24">
      <c r="A497" s="13" t="s">
        <v>19</v>
      </c>
      <c r="B497" s="1"/>
      <c r="C497" s="1" t="s">
        <v>20</v>
      </c>
      <c r="D497" s="3">
        <v>60000</v>
      </c>
      <c r="E497"/>
      <c r="F497"/>
      <c r="G497"/>
      <c r="H497"/>
      <c r="I497"/>
      <c r="J497"/>
      <c r="K497"/>
      <c r="L497"/>
      <c r="M497" s="18" t="s">
        <v>219</v>
      </c>
      <c r="N497" t="s">
        <v>1339</v>
      </c>
      <c r="O497" t="s">
        <v>1395</v>
      </c>
      <c r="P497" s="1" t="s">
        <v>24</v>
      </c>
      <c r="Q497" s="13" t="s">
        <v>25</v>
      </c>
      <c r="R497">
        <v>2</v>
      </c>
      <c r="S497">
        <v>30000</v>
      </c>
      <c r="T497"/>
      <c r="U497" s="9"/>
      <c r="V497" s="9"/>
      <c r="W497" s="9"/>
      <c r="X497" s="9"/>
    </row>
    <row r="498" spans="1:24">
      <c r="A498" s="13" t="s">
        <v>19</v>
      </c>
      <c r="B498" s="1"/>
      <c r="C498" s="1" t="s">
        <v>20</v>
      </c>
      <c r="D498" s="3">
        <v>60000</v>
      </c>
      <c r="E498"/>
      <c r="F498"/>
      <c r="G498"/>
      <c r="H498"/>
      <c r="I498"/>
      <c r="J498"/>
      <c r="K498"/>
      <c r="L498"/>
      <c r="M498" s="18" t="s">
        <v>219</v>
      </c>
      <c r="N498" t="s">
        <v>1339</v>
      </c>
      <c r="O498" t="s">
        <v>1395</v>
      </c>
      <c r="P498" s="1" t="s">
        <v>24</v>
      </c>
      <c r="Q498" s="13" t="s">
        <v>25</v>
      </c>
      <c r="R498">
        <v>2</v>
      </c>
      <c r="S498">
        <v>30000</v>
      </c>
      <c r="T498"/>
      <c r="U498" s="9"/>
      <c r="V498" s="9"/>
      <c r="W498" s="9"/>
      <c r="X498" s="9"/>
    </row>
    <row r="499" spans="1:24">
      <c r="A499" s="13" t="s">
        <v>19</v>
      </c>
      <c r="B499" s="1"/>
      <c r="C499" s="1" t="s">
        <v>29</v>
      </c>
      <c r="D499" s="3">
        <v>10000</v>
      </c>
      <c r="E499"/>
      <c r="F499"/>
      <c r="G499"/>
      <c r="H499"/>
      <c r="I499"/>
      <c r="J499"/>
      <c r="K499"/>
      <c r="L499"/>
      <c r="M499" s="18" t="s">
        <v>219</v>
      </c>
      <c r="N499" t="s">
        <v>1339</v>
      </c>
      <c r="O499" t="s">
        <v>1395</v>
      </c>
      <c r="P499" s="1" t="s">
        <v>30</v>
      </c>
      <c r="Q499" s="13" t="s">
        <v>25</v>
      </c>
      <c r="R499">
        <v>2</v>
      </c>
      <c r="S499">
        <v>5000</v>
      </c>
      <c r="T499"/>
      <c r="U499" s="9"/>
      <c r="V499" s="9"/>
      <c r="W499" s="9"/>
      <c r="X499" s="9"/>
    </row>
    <row r="500" spans="1:24">
      <c r="A500" s="13" t="s">
        <v>19</v>
      </c>
      <c r="B500" s="1"/>
      <c r="C500" s="1" t="s">
        <v>29</v>
      </c>
      <c r="D500" s="3">
        <v>10000</v>
      </c>
      <c r="E500"/>
      <c r="F500"/>
      <c r="G500"/>
      <c r="H500"/>
      <c r="I500"/>
      <c r="J500"/>
      <c r="K500"/>
      <c r="L500"/>
      <c r="M500" s="18" t="s">
        <v>219</v>
      </c>
      <c r="N500" t="s">
        <v>1339</v>
      </c>
      <c r="O500" t="s">
        <v>1395</v>
      </c>
      <c r="P500" s="1" t="s">
        <v>30</v>
      </c>
      <c r="Q500" s="13" t="s">
        <v>25</v>
      </c>
      <c r="R500">
        <v>2</v>
      </c>
      <c r="S500">
        <v>5000</v>
      </c>
      <c r="T500"/>
      <c r="U500" s="9"/>
      <c r="V500" s="9"/>
      <c r="W500" s="9"/>
      <c r="X500" s="9"/>
    </row>
    <row r="501" spans="1:24">
      <c r="A501" s="13"/>
      <c r="B501" s="1"/>
      <c r="C501" s="1"/>
      <c r="D501" s="3" t="str">
        <f>SUBTOTAL(9,D497:D500)</f>
        <v>0</v>
      </c>
      <c r="E501"/>
      <c r="F501"/>
      <c r="G501"/>
      <c r="H501"/>
      <c r="I501"/>
      <c r="J501"/>
      <c r="K501"/>
      <c r="L501"/>
      <c r="M501" s="18" t="s">
        <v>220</v>
      </c>
      <c r="N501" t="s">
        <v>1456</v>
      </c>
      <c r="O501" t="s">
        <v>1395</v>
      </c>
      <c r="P501" s="1"/>
      <c r="Q501" s="13"/>
      <c r="R501"/>
      <c r="S501"/>
      <c r="T501"/>
      <c r="U501" s="9"/>
      <c r="V501" s="9"/>
      <c r="W501" s="9"/>
      <c r="X501" s="9"/>
    </row>
    <row r="502" spans="1:24">
      <c r="A502" s="13" t="s">
        <v>19</v>
      </c>
      <c r="B502" s="1"/>
      <c r="C502" s="1" t="s">
        <v>20</v>
      </c>
      <c r="D502" s="3">
        <v>32000</v>
      </c>
      <c r="E502"/>
      <c r="F502"/>
      <c r="G502"/>
      <c r="H502"/>
      <c r="I502"/>
      <c r="J502"/>
      <c r="K502"/>
      <c r="L502"/>
      <c r="M502" s="18" t="s">
        <v>221</v>
      </c>
      <c r="N502" t="s">
        <v>1344</v>
      </c>
      <c r="O502" t="s">
        <v>93</v>
      </c>
      <c r="P502" s="1" t="s">
        <v>568</v>
      </c>
      <c r="Q502" s="13" t="s">
        <v>25</v>
      </c>
      <c r="R502">
        <v>1</v>
      </c>
      <c r="S502">
        <v>32000</v>
      </c>
      <c r="T502"/>
      <c r="U502" s="9"/>
      <c r="V502" s="9"/>
      <c r="W502" s="9"/>
      <c r="X502" s="9"/>
    </row>
    <row r="503" spans="1:24">
      <c r="A503" s="13" t="s">
        <v>19</v>
      </c>
      <c r="B503" s="1"/>
      <c r="C503" s="1" t="s">
        <v>20</v>
      </c>
      <c r="D503" s="3">
        <v>32000</v>
      </c>
      <c r="E503"/>
      <c r="F503"/>
      <c r="G503"/>
      <c r="H503"/>
      <c r="I503"/>
      <c r="J503"/>
      <c r="K503"/>
      <c r="L503"/>
      <c r="M503" s="18" t="s">
        <v>221</v>
      </c>
      <c r="N503" t="s">
        <v>1344</v>
      </c>
      <c r="O503" t="s">
        <v>93</v>
      </c>
      <c r="P503" s="1" t="s">
        <v>544</v>
      </c>
      <c r="Q503" s="13" t="s">
        <v>25</v>
      </c>
      <c r="R503">
        <v>1</v>
      </c>
      <c r="S503">
        <v>32000</v>
      </c>
      <c r="T503"/>
      <c r="U503" s="9"/>
      <c r="V503" s="9"/>
      <c r="W503" s="9"/>
      <c r="X503" s="9"/>
    </row>
    <row r="504" spans="1:24">
      <c r="A504" s="13" t="s">
        <v>19</v>
      </c>
      <c r="B504" s="1"/>
      <c r="C504" s="1" t="s">
        <v>29</v>
      </c>
      <c r="D504" s="3">
        <v>5000</v>
      </c>
      <c r="E504"/>
      <c r="F504"/>
      <c r="G504"/>
      <c r="H504"/>
      <c r="I504"/>
      <c r="J504"/>
      <c r="K504"/>
      <c r="L504"/>
      <c r="M504" s="18" t="s">
        <v>221</v>
      </c>
      <c r="N504" t="s">
        <v>1344</v>
      </c>
      <c r="O504" t="s">
        <v>93</v>
      </c>
      <c r="P504" s="1" t="s">
        <v>571</v>
      </c>
      <c r="Q504" s="13" t="s">
        <v>25</v>
      </c>
      <c r="R504">
        <v>1</v>
      </c>
      <c r="S504">
        <v>5000</v>
      </c>
      <c r="T504"/>
      <c r="U504" s="9"/>
      <c r="V504" s="9"/>
      <c r="W504" s="9"/>
      <c r="X504" s="9"/>
    </row>
    <row r="505" spans="1:24">
      <c r="A505" s="13" t="s">
        <v>19</v>
      </c>
      <c r="B505" s="1"/>
      <c r="C505" s="1" t="s">
        <v>29</v>
      </c>
      <c r="D505" s="3">
        <v>5000</v>
      </c>
      <c r="E505"/>
      <c r="F505"/>
      <c r="G505"/>
      <c r="H505"/>
      <c r="I505"/>
      <c r="J505"/>
      <c r="K505"/>
      <c r="L505"/>
      <c r="M505" s="18" t="s">
        <v>221</v>
      </c>
      <c r="N505" t="s">
        <v>1344</v>
      </c>
      <c r="O505" t="s">
        <v>93</v>
      </c>
      <c r="P505" s="1" t="s">
        <v>549</v>
      </c>
      <c r="Q505" s="13" t="s">
        <v>25</v>
      </c>
      <c r="R505">
        <v>1</v>
      </c>
      <c r="S505">
        <v>5000</v>
      </c>
      <c r="T505"/>
      <c r="U505" s="9"/>
      <c r="V505" s="9"/>
      <c r="W505" s="9"/>
      <c r="X505" s="9"/>
    </row>
    <row r="506" spans="1:24">
      <c r="A506" s="13"/>
      <c r="B506" s="1"/>
      <c r="C506" s="1"/>
      <c r="D506" s="3" t="str">
        <f>SUBTOTAL(9,D502:D505)</f>
        <v>0</v>
      </c>
      <c r="E506"/>
      <c r="F506"/>
      <c r="G506"/>
      <c r="H506"/>
      <c r="I506"/>
      <c r="J506"/>
      <c r="K506"/>
      <c r="L506"/>
      <c r="M506" s="18" t="s">
        <v>222</v>
      </c>
      <c r="N506" t="s">
        <v>1457</v>
      </c>
      <c r="O506" t="s">
        <v>93</v>
      </c>
      <c r="P506" s="1"/>
      <c r="Q506" s="13"/>
      <c r="R506"/>
      <c r="S506"/>
      <c r="T506"/>
      <c r="U506" s="9"/>
      <c r="V506" s="9"/>
      <c r="W506" s="9"/>
      <c r="X506" s="9"/>
    </row>
    <row r="507" spans="1:24">
      <c r="A507" s="13" t="s">
        <v>19</v>
      </c>
      <c r="B507" s="1"/>
      <c r="C507" s="1" t="s">
        <v>20</v>
      </c>
      <c r="D507" s="3">
        <v>29000</v>
      </c>
      <c r="E507"/>
      <c r="F507"/>
      <c r="G507"/>
      <c r="H507"/>
      <c r="I507"/>
      <c r="J507"/>
      <c r="K507"/>
      <c r="L507"/>
      <c r="M507" s="18" t="s">
        <v>223</v>
      </c>
      <c r="N507" t="s">
        <v>1353</v>
      </c>
      <c r="O507" t="s">
        <v>94</v>
      </c>
      <c r="P507" s="1" t="s">
        <v>24</v>
      </c>
      <c r="Q507" s="13" t="s">
        <v>25</v>
      </c>
      <c r="R507">
        <v>1</v>
      </c>
      <c r="S507">
        <v>29000</v>
      </c>
      <c r="T507"/>
      <c r="U507" s="9"/>
      <c r="V507" s="9"/>
      <c r="W507" s="9"/>
      <c r="X507" s="9"/>
    </row>
    <row r="508" spans="1:24">
      <c r="A508" s="13" t="s">
        <v>19</v>
      </c>
      <c r="B508" s="1"/>
      <c r="C508" s="1" t="s">
        <v>20</v>
      </c>
      <c r="D508" s="3">
        <v>87000</v>
      </c>
      <c r="E508"/>
      <c r="F508"/>
      <c r="G508"/>
      <c r="H508"/>
      <c r="I508"/>
      <c r="J508"/>
      <c r="K508"/>
      <c r="L508"/>
      <c r="M508" s="18" t="s">
        <v>223</v>
      </c>
      <c r="N508" t="s">
        <v>1353</v>
      </c>
      <c r="O508" t="s">
        <v>94</v>
      </c>
      <c r="P508" s="1" t="s">
        <v>24</v>
      </c>
      <c r="Q508" s="13" t="s">
        <v>25</v>
      </c>
      <c r="R508">
        <v>3</v>
      </c>
      <c r="S508">
        <v>29000</v>
      </c>
      <c r="T508"/>
      <c r="U508" s="9"/>
      <c r="V508" s="9"/>
      <c r="W508" s="9"/>
      <c r="X508" s="9"/>
    </row>
    <row r="509" spans="1:24">
      <c r="A509" s="13" t="s">
        <v>19</v>
      </c>
      <c r="B509" s="1"/>
      <c r="C509" s="1" t="s">
        <v>29</v>
      </c>
      <c r="D509" s="3">
        <v>5000</v>
      </c>
      <c r="E509"/>
      <c r="F509"/>
      <c r="G509"/>
      <c r="H509"/>
      <c r="I509"/>
      <c r="J509"/>
      <c r="K509"/>
      <c r="L509"/>
      <c r="M509" s="18" t="s">
        <v>223</v>
      </c>
      <c r="N509" t="s">
        <v>1353</v>
      </c>
      <c r="O509" t="s">
        <v>94</v>
      </c>
      <c r="P509" s="1" t="s">
        <v>30</v>
      </c>
      <c r="Q509" s="13" t="s">
        <v>25</v>
      </c>
      <c r="R509">
        <v>1</v>
      </c>
      <c r="S509">
        <v>5000</v>
      </c>
      <c r="T509"/>
      <c r="U509" s="9"/>
      <c r="V509" s="9"/>
      <c r="W509" s="9"/>
      <c r="X509" s="9"/>
    </row>
    <row r="510" spans="1:24">
      <c r="A510" s="13" t="s">
        <v>19</v>
      </c>
      <c r="B510" s="1"/>
      <c r="C510" s="1" t="s">
        <v>29</v>
      </c>
      <c r="D510" s="3">
        <v>15000</v>
      </c>
      <c r="E510"/>
      <c r="F510"/>
      <c r="G510"/>
      <c r="H510"/>
      <c r="I510"/>
      <c r="J510"/>
      <c r="K510"/>
      <c r="L510"/>
      <c r="M510" s="18" t="s">
        <v>223</v>
      </c>
      <c r="N510" t="s">
        <v>1353</v>
      </c>
      <c r="O510" t="s">
        <v>94</v>
      </c>
      <c r="P510" s="1" t="s">
        <v>30</v>
      </c>
      <c r="Q510" s="13" t="s">
        <v>25</v>
      </c>
      <c r="R510">
        <v>3</v>
      </c>
      <c r="S510">
        <v>5000</v>
      </c>
      <c r="T510"/>
      <c r="U510" s="9"/>
      <c r="V510" s="9"/>
      <c r="W510" s="9"/>
      <c r="X510" s="9"/>
    </row>
    <row r="511" spans="1:24">
      <c r="A511" s="13"/>
      <c r="B511" s="1"/>
      <c r="C511" s="1"/>
      <c r="D511" s="3" t="str">
        <f>SUBTOTAL(9,D507:D510)</f>
        <v>0</v>
      </c>
      <c r="E511"/>
      <c r="F511"/>
      <c r="G511"/>
      <c r="H511"/>
      <c r="I511"/>
      <c r="J511"/>
      <c r="K511"/>
      <c r="L511"/>
      <c r="M511" s="18" t="s">
        <v>224</v>
      </c>
      <c r="N511" t="s">
        <v>1458</v>
      </c>
      <c r="O511" t="s">
        <v>94</v>
      </c>
      <c r="P511" s="1"/>
      <c r="Q511" s="13"/>
      <c r="R511"/>
      <c r="S511"/>
      <c r="T511"/>
      <c r="U511" s="9"/>
      <c r="V511" s="9"/>
      <c r="W511" s="9"/>
      <c r="X511" s="9"/>
    </row>
    <row r="512" spans="1:24">
      <c r="A512" s="13" t="s">
        <v>19</v>
      </c>
      <c r="B512" s="1"/>
      <c r="C512" s="1" t="s">
        <v>20</v>
      </c>
      <c r="D512" s="3">
        <v>81000</v>
      </c>
      <c r="E512"/>
      <c r="F512"/>
      <c r="G512"/>
      <c r="H512"/>
      <c r="I512"/>
      <c r="J512"/>
      <c r="K512"/>
      <c r="L512"/>
      <c r="M512" s="18" t="s">
        <v>225</v>
      </c>
      <c r="N512" t="s">
        <v>1360</v>
      </c>
      <c r="O512" t="s">
        <v>97</v>
      </c>
      <c r="P512" s="1" t="s">
        <v>24</v>
      </c>
      <c r="Q512" s="13" t="s">
        <v>25</v>
      </c>
      <c r="R512">
        <v>3</v>
      </c>
      <c r="S512">
        <v>27000</v>
      </c>
      <c r="T512"/>
      <c r="U512" s="9"/>
      <c r="V512" s="9"/>
      <c r="W512" s="9"/>
      <c r="X512" s="9"/>
    </row>
    <row r="513" spans="1:24">
      <c r="A513" s="13" t="s">
        <v>19</v>
      </c>
      <c r="B513" s="1"/>
      <c r="C513" s="1" t="s">
        <v>29</v>
      </c>
      <c r="D513" s="3">
        <v>15000</v>
      </c>
      <c r="E513"/>
      <c r="F513"/>
      <c r="G513"/>
      <c r="H513"/>
      <c r="I513"/>
      <c r="J513"/>
      <c r="K513"/>
      <c r="L513"/>
      <c r="M513" s="18" t="s">
        <v>225</v>
      </c>
      <c r="N513" t="s">
        <v>1360</v>
      </c>
      <c r="O513" t="s">
        <v>97</v>
      </c>
      <c r="P513" s="1" t="s">
        <v>30</v>
      </c>
      <c r="Q513" s="13" t="s">
        <v>25</v>
      </c>
      <c r="R513">
        <v>3</v>
      </c>
      <c r="S513">
        <v>5000</v>
      </c>
      <c r="T513"/>
      <c r="U513" s="9"/>
      <c r="V513" s="9"/>
      <c r="W513" s="9"/>
      <c r="X513" s="9"/>
    </row>
    <row r="514" spans="1:24">
      <c r="A514" s="13"/>
      <c r="B514" s="1"/>
      <c r="C514" s="1"/>
      <c r="D514" s="3" t="str">
        <f>SUBTOTAL(9,D512:D513)</f>
        <v>0</v>
      </c>
      <c r="E514"/>
      <c r="F514"/>
      <c r="G514"/>
      <c r="H514"/>
      <c r="I514"/>
      <c r="J514"/>
      <c r="K514"/>
      <c r="L514"/>
      <c r="M514" s="18" t="s">
        <v>226</v>
      </c>
      <c r="N514" t="s">
        <v>1459</v>
      </c>
      <c r="O514" t="s">
        <v>97</v>
      </c>
      <c r="P514" s="1"/>
      <c r="Q514" s="13"/>
      <c r="R514"/>
      <c r="S514"/>
      <c r="T514"/>
      <c r="U514" s="9"/>
      <c r="V514" s="9"/>
      <c r="W514" s="9"/>
      <c r="X514" s="9"/>
    </row>
    <row r="515" spans="1:24">
      <c r="A515" s="13" t="s">
        <v>19</v>
      </c>
      <c r="B515" s="1"/>
      <c r="C515" s="1" t="s">
        <v>20</v>
      </c>
      <c r="D515" s="3">
        <v>96000</v>
      </c>
      <c r="E515"/>
      <c r="F515"/>
      <c r="G515"/>
      <c r="H515"/>
      <c r="I515"/>
      <c r="J515"/>
      <c r="K515"/>
      <c r="L515"/>
      <c r="M515" s="18" t="s">
        <v>227</v>
      </c>
      <c r="N515" t="s">
        <v>1230</v>
      </c>
      <c r="O515" t="s">
        <v>1395</v>
      </c>
      <c r="P515" s="1" t="s">
        <v>664</v>
      </c>
      <c r="Q515" s="13" t="s">
        <v>25</v>
      </c>
      <c r="R515">
        <v>3</v>
      </c>
      <c r="S515">
        <v>32000</v>
      </c>
      <c r="T515"/>
      <c r="U515" s="9"/>
      <c r="V515" s="9"/>
      <c r="W515" s="9"/>
      <c r="X515" s="9"/>
    </row>
    <row r="516" spans="1:24">
      <c r="A516" s="13" t="s">
        <v>19</v>
      </c>
      <c r="B516" s="1"/>
      <c r="C516" s="1" t="s">
        <v>20</v>
      </c>
      <c r="D516" s="3">
        <v>30000</v>
      </c>
      <c r="E516"/>
      <c r="F516"/>
      <c r="G516"/>
      <c r="H516"/>
      <c r="I516"/>
      <c r="J516"/>
      <c r="K516"/>
      <c r="L516"/>
      <c r="M516" s="18" t="s">
        <v>227</v>
      </c>
      <c r="N516" t="s">
        <v>1230</v>
      </c>
      <c r="O516" t="s">
        <v>1395</v>
      </c>
      <c r="P516" s="1" t="s">
        <v>665</v>
      </c>
      <c r="Q516" s="13" t="s">
        <v>25</v>
      </c>
      <c r="R516">
        <v>1</v>
      </c>
      <c r="S516">
        <v>30000</v>
      </c>
      <c r="T516"/>
      <c r="U516" s="9"/>
      <c r="V516" s="9"/>
      <c r="W516" s="9"/>
      <c r="X516" s="9"/>
    </row>
    <row r="517" spans="1:24">
      <c r="A517" s="13" t="s">
        <v>19</v>
      </c>
      <c r="B517" s="1"/>
      <c r="C517" s="1" t="s">
        <v>20</v>
      </c>
      <c r="D517" s="3">
        <v>96000</v>
      </c>
      <c r="E517"/>
      <c r="F517"/>
      <c r="G517"/>
      <c r="H517"/>
      <c r="I517"/>
      <c r="J517"/>
      <c r="K517"/>
      <c r="L517"/>
      <c r="M517" s="18" t="s">
        <v>227</v>
      </c>
      <c r="N517" t="s">
        <v>1230</v>
      </c>
      <c r="O517" t="s">
        <v>1395</v>
      </c>
      <c r="P517" s="1" t="s">
        <v>602</v>
      </c>
      <c r="Q517" s="13" t="s">
        <v>25</v>
      </c>
      <c r="R517">
        <v>3</v>
      </c>
      <c r="S517">
        <v>32000</v>
      </c>
      <c r="T517"/>
      <c r="U517" s="9"/>
      <c r="V517" s="9"/>
      <c r="W517" s="9"/>
      <c r="X517" s="9"/>
    </row>
    <row r="518" spans="1:24">
      <c r="A518" s="13" t="s">
        <v>19</v>
      </c>
      <c r="B518" s="1"/>
      <c r="C518" s="1" t="s">
        <v>20</v>
      </c>
      <c r="D518" s="3">
        <v>90000</v>
      </c>
      <c r="E518"/>
      <c r="F518"/>
      <c r="G518"/>
      <c r="H518"/>
      <c r="I518"/>
      <c r="J518"/>
      <c r="K518"/>
      <c r="L518"/>
      <c r="M518" s="18" t="s">
        <v>227</v>
      </c>
      <c r="N518" t="s">
        <v>1230</v>
      </c>
      <c r="O518" t="s">
        <v>1395</v>
      </c>
      <c r="P518" s="1" t="s">
        <v>497</v>
      </c>
      <c r="Q518" s="13" t="s">
        <v>25</v>
      </c>
      <c r="R518">
        <v>3</v>
      </c>
      <c r="S518">
        <v>30000</v>
      </c>
      <c r="T518"/>
      <c r="U518" s="9"/>
      <c r="V518" s="9"/>
      <c r="W518" s="9"/>
      <c r="X518" s="9"/>
    </row>
    <row r="519" spans="1:24">
      <c r="A519" s="13" t="s">
        <v>19</v>
      </c>
      <c r="B519" s="1"/>
      <c r="C519" s="1" t="s">
        <v>26</v>
      </c>
      <c r="D519" s="3">
        <v>37000</v>
      </c>
      <c r="E519"/>
      <c r="F519"/>
      <c r="G519"/>
      <c r="H519"/>
      <c r="I519"/>
      <c r="J519"/>
      <c r="K519"/>
      <c r="L519"/>
      <c r="M519" s="18" t="s">
        <v>227</v>
      </c>
      <c r="N519" t="s">
        <v>1230</v>
      </c>
      <c r="O519" t="s">
        <v>1395</v>
      </c>
      <c r="P519" s="1" t="s">
        <v>644</v>
      </c>
      <c r="Q519" s="13" t="s">
        <v>25</v>
      </c>
      <c r="R519">
        <v>1</v>
      </c>
      <c r="S519">
        <v>37000</v>
      </c>
      <c r="T519"/>
      <c r="U519" s="9"/>
      <c r="V519" s="9"/>
      <c r="W519" s="9"/>
      <c r="X519" s="9"/>
    </row>
    <row r="520" spans="1:24">
      <c r="A520" s="13" t="s">
        <v>19</v>
      </c>
      <c r="B520" s="1"/>
      <c r="C520" s="1" t="s">
        <v>26</v>
      </c>
      <c r="D520" s="3">
        <v>74000</v>
      </c>
      <c r="E520"/>
      <c r="F520"/>
      <c r="G520"/>
      <c r="H520"/>
      <c r="I520"/>
      <c r="J520"/>
      <c r="K520"/>
      <c r="L520"/>
      <c r="M520" s="18" t="s">
        <v>227</v>
      </c>
      <c r="N520" t="s">
        <v>1230</v>
      </c>
      <c r="O520" t="s">
        <v>1395</v>
      </c>
      <c r="P520" s="1" t="s">
        <v>666</v>
      </c>
      <c r="Q520" s="13" t="s">
        <v>25</v>
      </c>
      <c r="R520">
        <v>2</v>
      </c>
      <c r="S520">
        <v>37000</v>
      </c>
      <c r="T520"/>
      <c r="U520" s="9"/>
      <c r="V520" s="9"/>
      <c r="W520" s="9"/>
      <c r="X520" s="9"/>
    </row>
    <row r="521" spans="1:24">
      <c r="A521" s="13" t="s">
        <v>19</v>
      </c>
      <c r="B521" s="1"/>
      <c r="C521" s="1" t="s">
        <v>26</v>
      </c>
      <c r="D521" s="3">
        <v>37000</v>
      </c>
      <c r="E521"/>
      <c r="F521"/>
      <c r="G521"/>
      <c r="H521"/>
      <c r="I521"/>
      <c r="J521"/>
      <c r="K521"/>
      <c r="L521"/>
      <c r="M521" s="18" t="s">
        <v>227</v>
      </c>
      <c r="N521" t="s">
        <v>1230</v>
      </c>
      <c r="O521" t="s">
        <v>1395</v>
      </c>
      <c r="P521" s="1" t="s">
        <v>667</v>
      </c>
      <c r="Q521" s="13" t="s">
        <v>25</v>
      </c>
      <c r="R521">
        <v>1</v>
      </c>
      <c r="S521">
        <v>37000</v>
      </c>
      <c r="T521"/>
      <c r="U521" s="9"/>
      <c r="V521" s="9"/>
      <c r="W521" s="9"/>
      <c r="X521" s="9"/>
    </row>
    <row r="522" spans="1:24">
      <c r="A522" s="13" t="s">
        <v>19</v>
      </c>
      <c r="B522" s="1"/>
      <c r="C522" s="1" t="s">
        <v>26</v>
      </c>
      <c r="D522" s="3">
        <v>37000</v>
      </c>
      <c r="E522"/>
      <c r="F522"/>
      <c r="G522"/>
      <c r="H522"/>
      <c r="I522"/>
      <c r="J522"/>
      <c r="K522"/>
      <c r="L522"/>
      <c r="M522" s="18" t="s">
        <v>227</v>
      </c>
      <c r="N522" t="s">
        <v>1230</v>
      </c>
      <c r="O522" t="s">
        <v>1395</v>
      </c>
      <c r="P522" s="1" t="s">
        <v>606</v>
      </c>
      <c r="Q522" s="13" t="s">
        <v>25</v>
      </c>
      <c r="R522">
        <v>1</v>
      </c>
      <c r="S522">
        <v>37000</v>
      </c>
      <c r="T522"/>
      <c r="U522" s="9"/>
      <c r="V522" s="9"/>
      <c r="W522" s="9"/>
      <c r="X522" s="9"/>
    </row>
    <row r="523" spans="1:24">
      <c r="A523" s="13" t="s">
        <v>19</v>
      </c>
      <c r="B523" s="1"/>
      <c r="C523" s="1" t="s">
        <v>26</v>
      </c>
      <c r="D523" s="3">
        <v>37000</v>
      </c>
      <c r="E523"/>
      <c r="F523"/>
      <c r="G523"/>
      <c r="H523"/>
      <c r="I523"/>
      <c r="J523"/>
      <c r="K523"/>
      <c r="L523"/>
      <c r="M523" s="18" t="s">
        <v>227</v>
      </c>
      <c r="N523" t="s">
        <v>1230</v>
      </c>
      <c r="O523" t="s">
        <v>1395</v>
      </c>
      <c r="P523" s="1" t="s">
        <v>668</v>
      </c>
      <c r="Q523" s="13" t="s">
        <v>25</v>
      </c>
      <c r="R523">
        <v>1</v>
      </c>
      <c r="S523">
        <v>37000</v>
      </c>
      <c r="T523"/>
      <c r="U523" s="9"/>
      <c r="V523" s="9"/>
      <c r="W523" s="9"/>
      <c r="X523" s="9"/>
    </row>
    <row r="524" spans="1:24">
      <c r="A524" s="13" t="s">
        <v>19</v>
      </c>
      <c r="B524" s="1"/>
      <c r="C524" s="1" t="s">
        <v>26</v>
      </c>
      <c r="D524" s="3">
        <v>37000</v>
      </c>
      <c r="E524"/>
      <c r="F524"/>
      <c r="G524"/>
      <c r="H524"/>
      <c r="I524"/>
      <c r="J524"/>
      <c r="K524"/>
      <c r="L524"/>
      <c r="M524" s="18" t="s">
        <v>227</v>
      </c>
      <c r="N524" t="s">
        <v>1230</v>
      </c>
      <c r="O524" t="s">
        <v>1395</v>
      </c>
      <c r="P524" s="1" t="s">
        <v>669</v>
      </c>
      <c r="Q524" s="13" t="s">
        <v>25</v>
      </c>
      <c r="R524">
        <v>1</v>
      </c>
      <c r="S524">
        <v>37000</v>
      </c>
      <c r="T524"/>
      <c r="U524" s="9"/>
      <c r="V524" s="9"/>
      <c r="W524" s="9"/>
      <c r="X524" s="9"/>
    </row>
    <row r="525" spans="1:24">
      <c r="A525" s="13" t="s">
        <v>19</v>
      </c>
      <c r="B525" s="1"/>
      <c r="C525" s="1" t="s">
        <v>29</v>
      </c>
      <c r="D525" s="3">
        <v>15000</v>
      </c>
      <c r="E525"/>
      <c r="F525"/>
      <c r="G525"/>
      <c r="H525"/>
      <c r="I525"/>
      <c r="J525"/>
      <c r="K525"/>
      <c r="L525"/>
      <c r="M525" s="18" t="s">
        <v>227</v>
      </c>
      <c r="N525" t="s">
        <v>1230</v>
      </c>
      <c r="O525" t="s">
        <v>1395</v>
      </c>
      <c r="P525" s="1" t="s">
        <v>670</v>
      </c>
      <c r="Q525" s="13" t="s">
        <v>25</v>
      </c>
      <c r="R525">
        <v>3</v>
      </c>
      <c r="S525">
        <v>5000</v>
      </c>
      <c r="T525"/>
      <c r="U525" s="9"/>
      <c r="V525" s="9"/>
      <c r="W525" s="9"/>
      <c r="X525" s="9"/>
    </row>
    <row r="526" spans="1:24">
      <c r="A526" s="13" t="s">
        <v>19</v>
      </c>
      <c r="B526" s="1"/>
      <c r="C526" s="1" t="s">
        <v>29</v>
      </c>
      <c r="D526" s="3">
        <v>7000</v>
      </c>
      <c r="E526"/>
      <c r="F526"/>
      <c r="G526"/>
      <c r="H526"/>
      <c r="I526"/>
      <c r="J526"/>
      <c r="K526"/>
      <c r="L526"/>
      <c r="M526" s="18" t="s">
        <v>227</v>
      </c>
      <c r="N526" t="s">
        <v>1230</v>
      </c>
      <c r="O526" t="s">
        <v>1395</v>
      </c>
      <c r="P526" s="1" t="s">
        <v>671</v>
      </c>
      <c r="Q526" s="13" t="s">
        <v>25</v>
      </c>
      <c r="R526">
        <v>1</v>
      </c>
      <c r="S526">
        <v>7000</v>
      </c>
      <c r="T526"/>
      <c r="U526" s="9"/>
      <c r="V526" s="9"/>
      <c r="W526" s="9"/>
      <c r="X526" s="9"/>
    </row>
    <row r="527" spans="1:24">
      <c r="A527" s="13" t="s">
        <v>19</v>
      </c>
      <c r="B527" s="1"/>
      <c r="C527" s="1" t="s">
        <v>29</v>
      </c>
      <c r="D527" s="3">
        <v>15000</v>
      </c>
      <c r="E527"/>
      <c r="F527"/>
      <c r="G527"/>
      <c r="H527"/>
      <c r="I527"/>
      <c r="J527"/>
      <c r="K527"/>
      <c r="L527"/>
      <c r="M527" s="18" t="s">
        <v>227</v>
      </c>
      <c r="N527" t="s">
        <v>1230</v>
      </c>
      <c r="O527" t="s">
        <v>1395</v>
      </c>
      <c r="P527" s="1" t="s">
        <v>612</v>
      </c>
      <c r="Q527" s="13" t="s">
        <v>25</v>
      </c>
      <c r="R527">
        <v>3</v>
      </c>
      <c r="S527">
        <v>5000</v>
      </c>
      <c r="T527"/>
      <c r="U527" s="9"/>
      <c r="V527" s="9"/>
      <c r="W527" s="9"/>
      <c r="X527" s="9"/>
    </row>
    <row r="528" spans="1:24">
      <c r="A528" s="13" t="s">
        <v>19</v>
      </c>
      <c r="B528" s="1"/>
      <c r="C528" s="1" t="s">
        <v>29</v>
      </c>
      <c r="D528" s="3">
        <v>21000</v>
      </c>
      <c r="E528"/>
      <c r="F528"/>
      <c r="G528"/>
      <c r="H528"/>
      <c r="I528"/>
      <c r="J528"/>
      <c r="K528"/>
      <c r="L528"/>
      <c r="M528" s="18" t="s">
        <v>227</v>
      </c>
      <c r="N528" t="s">
        <v>1230</v>
      </c>
      <c r="O528" t="s">
        <v>1395</v>
      </c>
      <c r="P528" s="1" t="s">
        <v>501</v>
      </c>
      <c r="Q528" s="13" t="s">
        <v>25</v>
      </c>
      <c r="R528">
        <v>3</v>
      </c>
      <c r="S528">
        <v>7000</v>
      </c>
      <c r="T528"/>
      <c r="U528" s="9"/>
      <c r="V528" s="9"/>
      <c r="W528" s="9"/>
      <c r="X528" s="9"/>
    </row>
    <row r="529" spans="1:24">
      <c r="A529" s="13" t="s">
        <v>19</v>
      </c>
      <c r="B529" s="1"/>
      <c r="C529" s="1" t="s">
        <v>32</v>
      </c>
      <c r="D529" s="3">
        <v>5000</v>
      </c>
      <c r="E529"/>
      <c r="F529"/>
      <c r="G529"/>
      <c r="H529"/>
      <c r="I529"/>
      <c r="J529"/>
      <c r="K529"/>
      <c r="L529"/>
      <c r="M529" s="18" t="s">
        <v>227</v>
      </c>
      <c r="N529" t="s">
        <v>1230</v>
      </c>
      <c r="O529" t="s">
        <v>1395</v>
      </c>
      <c r="P529" s="1" t="s">
        <v>648</v>
      </c>
      <c r="Q529" s="13" t="s">
        <v>25</v>
      </c>
      <c r="R529">
        <v>1</v>
      </c>
      <c r="S529">
        <v>5000</v>
      </c>
      <c r="T529"/>
      <c r="U529" s="9"/>
      <c r="V529" s="9"/>
      <c r="W529" s="9"/>
      <c r="X529" s="9"/>
    </row>
    <row r="530" spans="1:24">
      <c r="A530" s="13" t="s">
        <v>19</v>
      </c>
      <c r="B530" s="1"/>
      <c r="C530" s="1" t="s">
        <v>32</v>
      </c>
      <c r="D530" s="3">
        <v>10000</v>
      </c>
      <c r="E530"/>
      <c r="F530"/>
      <c r="G530"/>
      <c r="H530"/>
      <c r="I530"/>
      <c r="J530"/>
      <c r="K530"/>
      <c r="L530"/>
      <c r="M530" s="18" t="s">
        <v>227</v>
      </c>
      <c r="N530" t="s">
        <v>1230</v>
      </c>
      <c r="O530" t="s">
        <v>1395</v>
      </c>
      <c r="P530" s="1" t="s">
        <v>672</v>
      </c>
      <c r="Q530" s="13" t="s">
        <v>25</v>
      </c>
      <c r="R530">
        <v>2</v>
      </c>
      <c r="S530">
        <v>5000</v>
      </c>
      <c r="T530"/>
      <c r="U530" s="9"/>
      <c r="V530" s="9"/>
      <c r="W530" s="9"/>
      <c r="X530" s="9"/>
    </row>
    <row r="531" spans="1:24">
      <c r="A531" s="13" t="s">
        <v>19</v>
      </c>
      <c r="B531" s="1"/>
      <c r="C531" s="1" t="s">
        <v>32</v>
      </c>
      <c r="D531" s="3">
        <v>5000</v>
      </c>
      <c r="E531"/>
      <c r="F531"/>
      <c r="G531"/>
      <c r="H531"/>
      <c r="I531"/>
      <c r="J531"/>
      <c r="K531"/>
      <c r="L531"/>
      <c r="M531" s="18" t="s">
        <v>227</v>
      </c>
      <c r="N531" t="s">
        <v>1230</v>
      </c>
      <c r="O531" t="s">
        <v>1395</v>
      </c>
      <c r="P531" s="1" t="s">
        <v>673</v>
      </c>
      <c r="Q531" s="13" t="s">
        <v>25</v>
      </c>
      <c r="R531">
        <v>1</v>
      </c>
      <c r="S531">
        <v>5000</v>
      </c>
      <c r="T531"/>
      <c r="U531" s="9"/>
      <c r="V531" s="9"/>
      <c r="W531" s="9"/>
      <c r="X531" s="9"/>
    </row>
    <row r="532" spans="1:24">
      <c r="A532" s="13" t="s">
        <v>19</v>
      </c>
      <c r="B532" s="1"/>
      <c r="C532" s="1" t="s">
        <v>32</v>
      </c>
      <c r="D532" s="3">
        <v>5000</v>
      </c>
      <c r="E532"/>
      <c r="F532"/>
      <c r="G532"/>
      <c r="H532"/>
      <c r="I532"/>
      <c r="J532"/>
      <c r="K532"/>
      <c r="L532"/>
      <c r="M532" s="18" t="s">
        <v>227</v>
      </c>
      <c r="N532" t="s">
        <v>1230</v>
      </c>
      <c r="O532" t="s">
        <v>1395</v>
      </c>
      <c r="P532" s="1" t="s">
        <v>616</v>
      </c>
      <c r="Q532" s="13" t="s">
        <v>25</v>
      </c>
      <c r="R532">
        <v>1</v>
      </c>
      <c r="S532">
        <v>5000</v>
      </c>
      <c r="T532"/>
      <c r="U532" s="9"/>
      <c r="V532" s="9"/>
      <c r="W532" s="9"/>
      <c r="X532" s="9"/>
    </row>
    <row r="533" spans="1:24">
      <c r="A533" s="13" t="s">
        <v>19</v>
      </c>
      <c r="B533" s="1"/>
      <c r="C533" s="1" t="s">
        <v>32</v>
      </c>
      <c r="D533" s="3">
        <v>5000</v>
      </c>
      <c r="E533"/>
      <c r="F533"/>
      <c r="G533"/>
      <c r="H533"/>
      <c r="I533"/>
      <c r="J533"/>
      <c r="K533"/>
      <c r="L533"/>
      <c r="M533" s="18" t="s">
        <v>227</v>
      </c>
      <c r="N533" t="s">
        <v>1230</v>
      </c>
      <c r="O533" t="s">
        <v>1395</v>
      </c>
      <c r="P533" s="1" t="s">
        <v>674</v>
      </c>
      <c r="Q533" s="13" t="s">
        <v>25</v>
      </c>
      <c r="R533">
        <v>1</v>
      </c>
      <c r="S533">
        <v>5000</v>
      </c>
      <c r="T533"/>
      <c r="U533" s="9"/>
      <c r="V533" s="9"/>
      <c r="W533" s="9"/>
      <c r="X533" s="9"/>
    </row>
    <row r="534" spans="1:24">
      <c r="A534" s="13" t="s">
        <v>19</v>
      </c>
      <c r="B534" s="1"/>
      <c r="C534" s="1" t="s">
        <v>32</v>
      </c>
      <c r="D534" s="3">
        <v>5000</v>
      </c>
      <c r="E534"/>
      <c r="F534"/>
      <c r="G534"/>
      <c r="H534"/>
      <c r="I534"/>
      <c r="J534"/>
      <c r="K534"/>
      <c r="L534"/>
      <c r="M534" s="18" t="s">
        <v>227</v>
      </c>
      <c r="N534" t="s">
        <v>1230</v>
      </c>
      <c r="O534" t="s">
        <v>1395</v>
      </c>
      <c r="P534" s="1" t="s">
        <v>675</v>
      </c>
      <c r="Q534" s="13" t="s">
        <v>25</v>
      </c>
      <c r="R534">
        <v>1</v>
      </c>
      <c r="S534">
        <v>5000</v>
      </c>
      <c r="T534"/>
      <c r="U534" s="9"/>
      <c r="V534" s="9"/>
      <c r="W534" s="9"/>
      <c r="X534" s="9"/>
    </row>
    <row r="535" spans="1:24">
      <c r="A535" s="13"/>
      <c r="B535" s="1"/>
      <c r="C535" s="1"/>
      <c r="D535" s="3" t="str">
        <f>SUBTOTAL(9,D515:D534)</f>
        <v>0</v>
      </c>
      <c r="E535"/>
      <c r="F535"/>
      <c r="G535"/>
      <c r="H535"/>
      <c r="I535"/>
      <c r="J535"/>
      <c r="K535"/>
      <c r="L535"/>
      <c r="M535" s="18" t="s">
        <v>228</v>
      </c>
      <c r="N535" t="s">
        <v>1460</v>
      </c>
      <c r="O535" t="s">
        <v>1395</v>
      </c>
      <c r="P535" s="1"/>
      <c r="Q535" s="13"/>
      <c r="R535"/>
      <c r="S535"/>
      <c r="T535"/>
      <c r="U535" s="9"/>
      <c r="V535" s="9"/>
      <c r="W535" s="9"/>
      <c r="X535" s="9"/>
    </row>
    <row r="536" spans="1:24">
      <c r="A536" s="13" t="s">
        <v>19</v>
      </c>
      <c r="B536" s="1"/>
      <c r="C536" s="1" t="s">
        <v>26</v>
      </c>
      <c r="D536" s="3">
        <v>37000</v>
      </c>
      <c r="E536"/>
      <c r="F536"/>
      <c r="G536"/>
      <c r="H536"/>
      <c r="I536"/>
      <c r="J536"/>
      <c r="K536"/>
      <c r="L536"/>
      <c r="M536" s="18" t="s">
        <v>229</v>
      </c>
      <c r="N536" t="s">
        <v>1195</v>
      </c>
      <c r="O536" t="s">
        <v>96</v>
      </c>
      <c r="P536" s="1" t="s">
        <v>676</v>
      </c>
      <c r="Q536" s="13" t="s">
        <v>25</v>
      </c>
      <c r="R536">
        <v>1</v>
      </c>
      <c r="S536">
        <v>37000</v>
      </c>
      <c r="T536"/>
      <c r="U536" s="9"/>
      <c r="V536" s="9"/>
      <c r="W536" s="9"/>
      <c r="X536" s="9"/>
    </row>
    <row r="537" spans="1:24">
      <c r="A537" s="13" t="s">
        <v>19</v>
      </c>
      <c r="B537" s="1"/>
      <c r="C537" s="1" t="s">
        <v>32</v>
      </c>
      <c r="D537" s="3">
        <v>5000</v>
      </c>
      <c r="E537"/>
      <c r="F537"/>
      <c r="G537"/>
      <c r="H537"/>
      <c r="I537"/>
      <c r="J537"/>
      <c r="K537"/>
      <c r="L537"/>
      <c r="M537" s="18" t="s">
        <v>229</v>
      </c>
      <c r="N537" t="s">
        <v>1195</v>
      </c>
      <c r="O537" t="s">
        <v>96</v>
      </c>
      <c r="P537" s="1" t="s">
        <v>677</v>
      </c>
      <c r="Q537" s="13" t="s">
        <v>25</v>
      </c>
      <c r="R537">
        <v>1</v>
      </c>
      <c r="S537">
        <v>5000</v>
      </c>
      <c r="T537"/>
      <c r="U537" s="9"/>
      <c r="V537" s="9"/>
      <c r="W537" s="9"/>
      <c r="X537" s="9"/>
    </row>
    <row r="538" spans="1:24">
      <c r="A538" s="13"/>
      <c r="B538" s="1"/>
      <c r="C538" s="1"/>
      <c r="D538" s="3" t="str">
        <f>SUBTOTAL(9,D536:D537)</f>
        <v>0</v>
      </c>
      <c r="E538"/>
      <c r="F538"/>
      <c r="G538"/>
      <c r="H538"/>
      <c r="I538"/>
      <c r="J538"/>
      <c r="K538"/>
      <c r="L538"/>
      <c r="M538" s="18" t="s">
        <v>230</v>
      </c>
      <c r="N538" t="s">
        <v>1461</v>
      </c>
      <c r="O538" t="s">
        <v>96</v>
      </c>
      <c r="P538" s="1"/>
      <c r="Q538" s="13"/>
      <c r="R538"/>
      <c r="S538"/>
      <c r="T538"/>
      <c r="U538" s="9"/>
      <c r="V538" s="9"/>
      <c r="W538" s="9"/>
      <c r="X538" s="9"/>
    </row>
    <row r="539" spans="1:24">
      <c r="A539" s="13" t="s">
        <v>19</v>
      </c>
      <c r="B539" s="1"/>
      <c r="C539" s="1" t="s">
        <v>26</v>
      </c>
      <c r="D539" s="3">
        <v>37000</v>
      </c>
      <c r="E539"/>
      <c r="F539"/>
      <c r="G539"/>
      <c r="H539"/>
      <c r="I539"/>
      <c r="J539"/>
      <c r="K539"/>
      <c r="L539"/>
      <c r="M539" s="18" t="s">
        <v>231</v>
      </c>
      <c r="N539" t="s">
        <v>1236</v>
      </c>
      <c r="O539" t="s">
        <v>98</v>
      </c>
      <c r="P539" s="1" t="s">
        <v>678</v>
      </c>
      <c r="Q539" s="13" t="s">
        <v>25</v>
      </c>
      <c r="R539">
        <v>1</v>
      </c>
      <c r="S539">
        <v>37000</v>
      </c>
      <c r="T539"/>
      <c r="U539" s="9"/>
      <c r="V539" s="9"/>
      <c r="W539" s="9"/>
      <c r="X539" s="9"/>
    </row>
    <row r="540" spans="1:24">
      <c r="A540" s="13" t="s">
        <v>19</v>
      </c>
      <c r="B540" s="1"/>
      <c r="C540" s="1" t="s">
        <v>32</v>
      </c>
      <c r="D540" s="3">
        <v>5000</v>
      </c>
      <c r="E540"/>
      <c r="F540"/>
      <c r="G540"/>
      <c r="H540"/>
      <c r="I540"/>
      <c r="J540"/>
      <c r="K540"/>
      <c r="L540"/>
      <c r="M540" s="18" t="s">
        <v>231</v>
      </c>
      <c r="N540" t="s">
        <v>1236</v>
      </c>
      <c r="O540" t="s">
        <v>98</v>
      </c>
      <c r="P540" s="1" t="s">
        <v>679</v>
      </c>
      <c r="Q540" s="13" t="s">
        <v>25</v>
      </c>
      <c r="R540">
        <v>1</v>
      </c>
      <c r="S540">
        <v>5000</v>
      </c>
      <c r="T540"/>
      <c r="U540" s="9"/>
      <c r="V540" s="9"/>
      <c r="W540" s="9"/>
      <c r="X540" s="9"/>
    </row>
    <row r="541" spans="1:24">
      <c r="A541" s="13"/>
      <c r="B541" s="1"/>
      <c r="C541" s="1"/>
      <c r="D541" s="3" t="str">
        <f>SUBTOTAL(9,D539:D540)</f>
        <v>0</v>
      </c>
      <c r="E541"/>
      <c r="F541"/>
      <c r="G541"/>
      <c r="H541"/>
      <c r="I541"/>
      <c r="J541"/>
      <c r="K541"/>
      <c r="L541"/>
      <c r="M541" s="18" t="s">
        <v>232</v>
      </c>
      <c r="N541" t="s">
        <v>1462</v>
      </c>
      <c r="O541" t="s">
        <v>98</v>
      </c>
      <c r="P541" s="1"/>
      <c r="Q541" s="13"/>
      <c r="R541"/>
      <c r="S541"/>
      <c r="T541"/>
      <c r="U541" s="9"/>
      <c r="V541" s="9"/>
      <c r="W541" s="9"/>
      <c r="X541" s="9"/>
    </row>
    <row r="542" spans="1:24">
      <c r="A542" s="13" t="s">
        <v>19</v>
      </c>
      <c r="B542" s="1"/>
      <c r="C542" s="1" t="s">
        <v>20</v>
      </c>
      <c r="D542" s="3">
        <v>96000</v>
      </c>
      <c r="E542"/>
      <c r="F542"/>
      <c r="G542"/>
      <c r="H542"/>
      <c r="I542"/>
      <c r="J542"/>
      <c r="K542"/>
      <c r="L542"/>
      <c r="M542" s="18" t="s">
        <v>233</v>
      </c>
      <c r="N542" t="s">
        <v>1144</v>
      </c>
      <c r="O542" t="s">
        <v>23</v>
      </c>
      <c r="P542" s="1" t="s">
        <v>680</v>
      </c>
      <c r="Q542" s="13" t="s">
        <v>25</v>
      </c>
      <c r="R542">
        <v>3</v>
      </c>
      <c r="S542">
        <v>32000</v>
      </c>
      <c r="T542"/>
      <c r="U542" s="9"/>
      <c r="V542" s="9"/>
      <c r="W542" s="9"/>
      <c r="X542" s="9"/>
    </row>
    <row r="543" spans="1:24">
      <c r="A543" s="13" t="s">
        <v>19</v>
      </c>
      <c r="B543" s="1"/>
      <c r="C543" s="1" t="s">
        <v>20</v>
      </c>
      <c r="D543" s="3">
        <v>32000</v>
      </c>
      <c r="E543"/>
      <c r="F543"/>
      <c r="G543"/>
      <c r="H543"/>
      <c r="I543"/>
      <c r="J543"/>
      <c r="K543"/>
      <c r="L543"/>
      <c r="M543" s="18" t="s">
        <v>233</v>
      </c>
      <c r="N543" t="s">
        <v>1144</v>
      </c>
      <c r="O543" t="s">
        <v>23</v>
      </c>
      <c r="P543" s="1" t="s">
        <v>495</v>
      </c>
      <c r="Q543" s="13" t="s">
        <v>25</v>
      </c>
      <c r="R543">
        <v>1</v>
      </c>
      <c r="S543">
        <v>32000</v>
      </c>
      <c r="T543"/>
      <c r="U543" s="9"/>
      <c r="V543" s="9"/>
      <c r="W543" s="9"/>
      <c r="X543" s="9"/>
    </row>
    <row r="544" spans="1:24">
      <c r="A544" s="13" t="s">
        <v>19</v>
      </c>
      <c r="B544" s="1"/>
      <c r="C544" s="1" t="s">
        <v>20</v>
      </c>
      <c r="D544" s="3">
        <v>96000</v>
      </c>
      <c r="E544"/>
      <c r="F544"/>
      <c r="G544"/>
      <c r="H544"/>
      <c r="I544"/>
      <c r="J544"/>
      <c r="K544"/>
      <c r="L544"/>
      <c r="M544" s="18" t="s">
        <v>233</v>
      </c>
      <c r="N544" t="s">
        <v>1144</v>
      </c>
      <c r="O544" t="s">
        <v>23</v>
      </c>
      <c r="P544" s="1" t="s">
        <v>681</v>
      </c>
      <c r="Q544" s="13" t="s">
        <v>25</v>
      </c>
      <c r="R544">
        <v>3</v>
      </c>
      <c r="S544">
        <v>32000</v>
      </c>
      <c r="T544"/>
      <c r="U544" s="9"/>
      <c r="V544" s="9"/>
      <c r="W544" s="9"/>
      <c r="X544" s="9"/>
    </row>
    <row r="545" spans="1:24">
      <c r="A545" s="13" t="s">
        <v>19</v>
      </c>
      <c r="B545" s="1"/>
      <c r="C545" s="1" t="s">
        <v>26</v>
      </c>
      <c r="D545" s="3">
        <v>74000</v>
      </c>
      <c r="E545"/>
      <c r="F545"/>
      <c r="G545"/>
      <c r="H545"/>
      <c r="I545"/>
      <c r="J545"/>
      <c r="K545"/>
      <c r="L545"/>
      <c r="M545" s="18" t="s">
        <v>233</v>
      </c>
      <c r="N545" t="s">
        <v>1144</v>
      </c>
      <c r="O545" t="s">
        <v>23</v>
      </c>
      <c r="P545" s="1" t="s">
        <v>682</v>
      </c>
      <c r="Q545" s="13" t="s">
        <v>25</v>
      </c>
      <c r="R545">
        <v>2</v>
      </c>
      <c r="S545">
        <v>37000</v>
      </c>
      <c r="T545"/>
      <c r="U545" s="9"/>
      <c r="V545" s="9"/>
      <c r="W545" s="9"/>
      <c r="X545" s="9"/>
    </row>
    <row r="546" spans="1:24">
      <c r="A546" s="13" t="s">
        <v>19</v>
      </c>
      <c r="B546" s="1"/>
      <c r="C546" s="1" t="s">
        <v>29</v>
      </c>
      <c r="D546" s="3">
        <v>15000</v>
      </c>
      <c r="E546"/>
      <c r="F546"/>
      <c r="G546"/>
      <c r="H546"/>
      <c r="I546"/>
      <c r="J546"/>
      <c r="K546"/>
      <c r="L546"/>
      <c r="M546" s="18" t="s">
        <v>233</v>
      </c>
      <c r="N546" t="s">
        <v>1144</v>
      </c>
      <c r="O546" t="s">
        <v>23</v>
      </c>
      <c r="P546" s="1" t="s">
        <v>683</v>
      </c>
      <c r="Q546" s="13" t="s">
        <v>25</v>
      </c>
      <c r="R546">
        <v>3</v>
      </c>
      <c r="S546">
        <v>5000</v>
      </c>
      <c r="T546"/>
      <c r="U546" s="9"/>
      <c r="V546" s="9"/>
      <c r="W546" s="9"/>
      <c r="X546" s="9"/>
    </row>
    <row r="547" spans="1:24">
      <c r="A547" s="13" t="s">
        <v>19</v>
      </c>
      <c r="B547" s="1"/>
      <c r="C547" s="1" t="s">
        <v>29</v>
      </c>
      <c r="D547" s="3">
        <v>5000</v>
      </c>
      <c r="E547"/>
      <c r="F547"/>
      <c r="G547"/>
      <c r="H547"/>
      <c r="I547"/>
      <c r="J547"/>
      <c r="K547"/>
      <c r="L547"/>
      <c r="M547" s="18" t="s">
        <v>233</v>
      </c>
      <c r="N547" t="s">
        <v>1144</v>
      </c>
      <c r="O547" t="s">
        <v>23</v>
      </c>
      <c r="P547" s="1" t="s">
        <v>499</v>
      </c>
      <c r="Q547" s="13" t="s">
        <v>25</v>
      </c>
      <c r="R547">
        <v>1</v>
      </c>
      <c r="S547">
        <v>5000</v>
      </c>
      <c r="T547"/>
      <c r="U547" s="9"/>
      <c r="V547" s="9"/>
      <c r="W547" s="9"/>
      <c r="X547" s="9"/>
    </row>
    <row r="548" spans="1:24">
      <c r="A548" s="13" t="s">
        <v>19</v>
      </c>
      <c r="B548" s="1"/>
      <c r="C548" s="1" t="s">
        <v>29</v>
      </c>
      <c r="D548" s="3">
        <v>15000</v>
      </c>
      <c r="E548"/>
      <c r="F548"/>
      <c r="G548"/>
      <c r="H548"/>
      <c r="I548"/>
      <c r="J548"/>
      <c r="K548"/>
      <c r="L548"/>
      <c r="M548" s="18" t="s">
        <v>233</v>
      </c>
      <c r="N548" t="s">
        <v>1144</v>
      </c>
      <c r="O548" t="s">
        <v>23</v>
      </c>
      <c r="P548" s="1" t="s">
        <v>684</v>
      </c>
      <c r="Q548" s="13" t="s">
        <v>25</v>
      </c>
      <c r="R548">
        <v>3</v>
      </c>
      <c r="S548">
        <v>5000</v>
      </c>
      <c r="T548"/>
      <c r="U548" s="9"/>
      <c r="V548" s="9"/>
      <c r="W548" s="9"/>
      <c r="X548" s="9"/>
    </row>
    <row r="549" spans="1:24">
      <c r="A549" s="13" t="s">
        <v>19</v>
      </c>
      <c r="B549" s="1"/>
      <c r="C549" s="1" t="s">
        <v>32</v>
      </c>
      <c r="D549" s="3">
        <v>10000</v>
      </c>
      <c r="E549"/>
      <c r="F549"/>
      <c r="G549"/>
      <c r="H549"/>
      <c r="I549"/>
      <c r="J549"/>
      <c r="K549"/>
      <c r="L549"/>
      <c r="M549" s="18" t="s">
        <v>233</v>
      </c>
      <c r="N549" t="s">
        <v>1144</v>
      </c>
      <c r="O549" t="s">
        <v>23</v>
      </c>
      <c r="P549" s="1" t="s">
        <v>685</v>
      </c>
      <c r="Q549" s="13" t="s">
        <v>25</v>
      </c>
      <c r="R549">
        <v>2</v>
      </c>
      <c r="S549">
        <v>5000</v>
      </c>
      <c r="T549"/>
      <c r="U549" s="9"/>
      <c r="V549" s="9"/>
      <c r="W549" s="9"/>
      <c r="X549" s="9"/>
    </row>
    <row r="550" spans="1:24">
      <c r="A550" s="13"/>
      <c r="B550" s="1"/>
      <c r="C550" s="1"/>
      <c r="D550" s="3" t="str">
        <f>SUBTOTAL(9,D542:D549)</f>
        <v>0</v>
      </c>
      <c r="E550"/>
      <c r="F550"/>
      <c r="G550"/>
      <c r="H550"/>
      <c r="I550"/>
      <c r="J550"/>
      <c r="K550"/>
      <c r="L550"/>
      <c r="M550" s="18" t="s">
        <v>234</v>
      </c>
      <c r="N550" t="s">
        <v>1463</v>
      </c>
      <c r="O550" t="s">
        <v>23</v>
      </c>
      <c r="P550" s="1"/>
      <c r="Q550" s="13"/>
      <c r="R550"/>
      <c r="S550"/>
      <c r="T550"/>
      <c r="U550" s="9"/>
      <c r="V550" s="9"/>
      <c r="W550" s="9"/>
      <c r="X550" s="9"/>
    </row>
    <row r="551" spans="1:24">
      <c r="A551" s="13" t="s">
        <v>19</v>
      </c>
      <c r="B551" s="1"/>
      <c r="C551" s="1" t="s">
        <v>20</v>
      </c>
      <c r="D551" s="3">
        <v>25000</v>
      </c>
      <c r="E551"/>
      <c r="F551"/>
      <c r="G551"/>
      <c r="H551"/>
      <c r="I551"/>
      <c r="J551"/>
      <c r="K551"/>
      <c r="L551"/>
      <c r="M551" s="18" t="s">
        <v>235</v>
      </c>
      <c r="N551" t="s">
        <v>1168</v>
      </c>
      <c r="O551" t="s">
        <v>94</v>
      </c>
      <c r="P551" s="1" t="s">
        <v>24</v>
      </c>
      <c r="Q551" s="13" t="s">
        <v>25</v>
      </c>
      <c r="R551">
        <v>1</v>
      </c>
      <c r="S551">
        <v>25000</v>
      </c>
      <c r="T551"/>
      <c r="U551" s="9"/>
      <c r="V551" s="9"/>
      <c r="W551" s="9"/>
      <c r="X551" s="9"/>
    </row>
    <row r="552" spans="1:24">
      <c r="A552" s="13" t="s">
        <v>19</v>
      </c>
      <c r="B552" s="1"/>
      <c r="C552" s="1" t="s">
        <v>29</v>
      </c>
      <c r="D552" s="3">
        <v>5000</v>
      </c>
      <c r="E552"/>
      <c r="F552"/>
      <c r="G552"/>
      <c r="H552"/>
      <c r="I552"/>
      <c r="J552"/>
      <c r="K552"/>
      <c r="L552"/>
      <c r="M552" s="18" t="s">
        <v>235</v>
      </c>
      <c r="N552" t="s">
        <v>1168</v>
      </c>
      <c r="O552" t="s">
        <v>94</v>
      </c>
      <c r="P552" s="1" t="s">
        <v>30</v>
      </c>
      <c r="Q552" s="13" t="s">
        <v>25</v>
      </c>
      <c r="R552">
        <v>1</v>
      </c>
      <c r="S552">
        <v>5000</v>
      </c>
      <c r="T552"/>
      <c r="U552" s="9"/>
      <c r="V552" s="9"/>
      <c r="W552" s="9"/>
      <c r="X552" s="9"/>
    </row>
    <row r="553" spans="1:24">
      <c r="A553" s="13"/>
      <c r="B553" s="1"/>
      <c r="C553" s="1"/>
      <c r="D553" s="3" t="str">
        <f>SUBTOTAL(9,D551:D552)</f>
        <v>0</v>
      </c>
      <c r="E553"/>
      <c r="F553"/>
      <c r="G553"/>
      <c r="H553"/>
      <c r="I553"/>
      <c r="J553"/>
      <c r="K553"/>
      <c r="L553"/>
      <c r="M553" s="18" t="s">
        <v>236</v>
      </c>
      <c r="N553" t="s">
        <v>1464</v>
      </c>
      <c r="O553" t="s">
        <v>94</v>
      </c>
      <c r="P553" s="1"/>
      <c r="Q553" s="13"/>
      <c r="R553"/>
      <c r="S553"/>
      <c r="T553"/>
      <c r="U553" s="9"/>
      <c r="V553" s="9"/>
      <c r="W553" s="9"/>
      <c r="X553" s="9"/>
    </row>
    <row r="554" spans="1:24">
      <c r="A554" s="13" t="s">
        <v>19</v>
      </c>
      <c r="B554" s="1"/>
      <c r="C554" s="1" t="s">
        <v>20</v>
      </c>
      <c r="D554" s="3">
        <v>30000</v>
      </c>
      <c r="E554"/>
      <c r="F554"/>
      <c r="G554"/>
      <c r="H554"/>
      <c r="I554"/>
      <c r="J554"/>
      <c r="K554"/>
      <c r="L554"/>
      <c r="M554" s="18" t="s">
        <v>237</v>
      </c>
      <c r="N554" t="s">
        <v>1285</v>
      </c>
      <c r="O554" t="s">
        <v>1395</v>
      </c>
      <c r="P554" s="1" t="s">
        <v>24</v>
      </c>
      <c r="Q554" s="13" t="s">
        <v>25</v>
      </c>
      <c r="R554">
        <v>1</v>
      </c>
      <c r="S554">
        <v>30000</v>
      </c>
      <c r="T554"/>
      <c r="U554" s="9"/>
      <c r="V554" s="9"/>
      <c r="W554" s="9"/>
      <c r="X554" s="9"/>
    </row>
    <row r="555" spans="1:24">
      <c r="A555" s="13" t="s">
        <v>19</v>
      </c>
      <c r="B555" s="1"/>
      <c r="C555" s="1" t="s">
        <v>20</v>
      </c>
      <c r="D555" s="3">
        <v>30000</v>
      </c>
      <c r="E555"/>
      <c r="F555"/>
      <c r="G555"/>
      <c r="H555"/>
      <c r="I555"/>
      <c r="J555"/>
      <c r="K555"/>
      <c r="L555"/>
      <c r="M555" s="18" t="s">
        <v>237</v>
      </c>
      <c r="N555" t="s">
        <v>1285</v>
      </c>
      <c r="O555" t="s">
        <v>1395</v>
      </c>
      <c r="P555" s="1" t="s">
        <v>24</v>
      </c>
      <c r="Q555" s="13" t="s">
        <v>25</v>
      </c>
      <c r="R555">
        <v>1</v>
      </c>
      <c r="S555">
        <v>30000</v>
      </c>
      <c r="T555"/>
      <c r="U555" s="9"/>
      <c r="V555" s="9"/>
      <c r="W555" s="9"/>
      <c r="X555" s="9"/>
    </row>
    <row r="556" spans="1:24">
      <c r="A556" s="13" t="s">
        <v>19</v>
      </c>
      <c r="B556" s="1"/>
      <c r="C556" s="1" t="s">
        <v>20</v>
      </c>
      <c r="D556" s="3">
        <v>30000</v>
      </c>
      <c r="E556"/>
      <c r="F556"/>
      <c r="G556"/>
      <c r="H556"/>
      <c r="I556"/>
      <c r="J556"/>
      <c r="K556"/>
      <c r="L556"/>
      <c r="M556" s="18" t="s">
        <v>237</v>
      </c>
      <c r="N556" t="s">
        <v>1285</v>
      </c>
      <c r="O556" t="s">
        <v>1395</v>
      </c>
      <c r="P556" s="1" t="s">
        <v>24</v>
      </c>
      <c r="Q556" s="13" t="s">
        <v>25</v>
      </c>
      <c r="R556">
        <v>1</v>
      </c>
      <c r="S556">
        <v>30000</v>
      </c>
      <c r="T556"/>
      <c r="U556" s="9"/>
      <c r="V556" s="9"/>
      <c r="W556" s="9"/>
      <c r="X556" s="9"/>
    </row>
    <row r="557" spans="1:24">
      <c r="A557" s="13" t="s">
        <v>19</v>
      </c>
      <c r="B557" s="1"/>
      <c r="C557" s="1" t="s">
        <v>20</v>
      </c>
      <c r="D557" s="3">
        <v>90000</v>
      </c>
      <c r="E557"/>
      <c r="F557"/>
      <c r="G557"/>
      <c r="H557"/>
      <c r="I557"/>
      <c r="J557"/>
      <c r="K557"/>
      <c r="L557"/>
      <c r="M557" s="18" t="s">
        <v>237</v>
      </c>
      <c r="N557" t="s">
        <v>1285</v>
      </c>
      <c r="O557" t="s">
        <v>1395</v>
      </c>
      <c r="P557" s="1" t="s">
        <v>686</v>
      </c>
      <c r="Q557" s="13" t="s">
        <v>25</v>
      </c>
      <c r="R557">
        <v>3</v>
      </c>
      <c r="S557">
        <v>30000</v>
      </c>
      <c r="T557"/>
      <c r="U557" s="9"/>
      <c r="V557" s="9"/>
      <c r="W557" s="9"/>
      <c r="X557" s="9"/>
    </row>
    <row r="558" spans="1:24">
      <c r="A558" s="13" t="s">
        <v>19</v>
      </c>
      <c r="B558" s="1"/>
      <c r="C558" s="1" t="s">
        <v>20</v>
      </c>
      <c r="D558" s="3">
        <v>30000</v>
      </c>
      <c r="E558"/>
      <c r="F558"/>
      <c r="G558"/>
      <c r="H558"/>
      <c r="I558"/>
      <c r="J558"/>
      <c r="K558"/>
      <c r="L558"/>
      <c r="M558" s="18" t="s">
        <v>237</v>
      </c>
      <c r="N558" t="s">
        <v>1285</v>
      </c>
      <c r="O558" t="s">
        <v>1395</v>
      </c>
      <c r="P558" s="1" t="s">
        <v>687</v>
      </c>
      <c r="Q558" s="13" t="s">
        <v>25</v>
      </c>
      <c r="R558">
        <v>1</v>
      </c>
      <c r="S558">
        <v>30000</v>
      </c>
      <c r="T558"/>
      <c r="U558" s="9"/>
      <c r="V558" s="9"/>
      <c r="W558" s="9"/>
      <c r="X558" s="9"/>
    </row>
    <row r="559" spans="1:24">
      <c r="A559" s="13" t="s">
        <v>19</v>
      </c>
      <c r="B559" s="1"/>
      <c r="C559" s="1" t="s">
        <v>29</v>
      </c>
      <c r="D559" s="3">
        <v>5000</v>
      </c>
      <c r="E559"/>
      <c r="F559"/>
      <c r="G559"/>
      <c r="H559"/>
      <c r="I559"/>
      <c r="J559"/>
      <c r="K559"/>
      <c r="L559"/>
      <c r="M559" s="18" t="s">
        <v>237</v>
      </c>
      <c r="N559" t="s">
        <v>1285</v>
      </c>
      <c r="O559" t="s">
        <v>1395</v>
      </c>
      <c r="P559" s="1" t="s">
        <v>30</v>
      </c>
      <c r="Q559" s="13" t="s">
        <v>25</v>
      </c>
      <c r="R559">
        <v>1</v>
      </c>
      <c r="S559">
        <v>5000</v>
      </c>
      <c r="T559"/>
      <c r="U559" s="9"/>
      <c r="V559" s="9"/>
      <c r="W559" s="9"/>
      <c r="X559" s="9"/>
    </row>
    <row r="560" spans="1:24">
      <c r="A560" s="13" t="s">
        <v>19</v>
      </c>
      <c r="B560" s="1"/>
      <c r="C560" s="1" t="s">
        <v>29</v>
      </c>
      <c r="D560" s="3">
        <v>5000</v>
      </c>
      <c r="E560"/>
      <c r="F560"/>
      <c r="G560"/>
      <c r="H560"/>
      <c r="I560"/>
      <c r="J560"/>
      <c r="K560"/>
      <c r="L560"/>
      <c r="M560" s="18" t="s">
        <v>237</v>
      </c>
      <c r="N560" t="s">
        <v>1285</v>
      </c>
      <c r="O560" t="s">
        <v>1395</v>
      </c>
      <c r="P560" s="1" t="s">
        <v>30</v>
      </c>
      <c r="Q560" s="13" t="s">
        <v>25</v>
      </c>
      <c r="R560">
        <v>1</v>
      </c>
      <c r="S560">
        <v>5000</v>
      </c>
      <c r="T560"/>
      <c r="U560" s="9"/>
      <c r="V560" s="9"/>
      <c r="W560" s="9"/>
      <c r="X560" s="9"/>
    </row>
    <row r="561" spans="1:24">
      <c r="A561" s="13" t="s">
        <v>19</v>
      </c>
      <c r="B561" s="1"/>
      <c r="C561" s="1" t="s">
        <v>29</v>
      </c>
      <c r="D561" s="3">
        <v>5000</v>
      </c>
      <c r="E561"/>
      <c r="F561"/>
      <c r="G561"/>
      <c r="H561"/>
      <c r="I561"/>
      <c r="J561"/>
      <c r="K561"/>
      <c r="L561"/>
      <c r="M561" s="18" t="s">
        <v>237</v>
      </c>
      <c r="N561" t="s">
        <v>1285</v>
      </c>
      <c r="O561" t="s">
        <v>1395</v>
      </c>
      <c r="P561" s="1" t="s">
        <v>30</v>
      </c>
      <c r="Q561" s="13" t="s">
        <v>25</v>
      </c>
      <c r="R561">
        <v>1</v>
      </c>
      <c r="S561">
        <v>5000</v>
      </c>
      <c r="T561"/>
      <c r="U561" s="9"/>
      <c r="V561" s="9"/>
      <c r="W561" s="9"/>
      <c r="X561" s="9"/>
    </row>
    <row r="562" spans="1:24">
      <c r="A562" s="13" t="s">
        <v>19</v>
      </c>
      <c r="B562" s="1"/>
      <c r="C562" s="1" t="s">
        <v>29</v>
      </c>
      <c r="D562" s="3">
        <v>15000</v>
      </c>
      <c r="E562"/>
      <c r="F562"/>
      <c r="G562"/>
      <c r="H562"/>
      <c r="I562"/>
      <c r="J562"/>
      <c r="K562"/>
      <c r="L562"/>
      <c r="M562" s="18" t="s">
        <v>237</v>
      </c>
      <c r="N562" t="s">
        <v>1285</v>
      </c>
      <c r="O562" t="s">
        <v>1395</v>
      </c>
      <c r="P562" s="1" t="s">
        <v>688</v>
      </c>
      <c r="Q562" s="13" t="s">
        <v>25</v>
      </c>
      <c r="R562">
        <v>3</v>
      </c>
      <c r="S562">
        <v>5000</v>
      </c>
      <c r="T562"/>
      <c r="U562" s="9"/>
      <c r="V562" s="9"/>
      <c r="W562" s="9"/>
      <c r="X562" s="9"/>
    </row>
    <row r="563" spans="1:24">
      <c r="A563" s="13" t="s">
        <v>19</v>
      </c>
      <c r="B563" s="1"/>
      <c r="C563" s="1" t="s">
        <v>29</v>
      </c>
      <c r="D563" s="3">
        <v>5000</v>
      </c>
      <c r="E563"/>
      <c r="F563"/>
      <c r="G563"/>
      <c r="H563"/>
      <c r="I563"/>
      <c r="J563"/>
      <c r="K563"/>
      <c r="L563"/>
      <c r="M563" s="18" t="s">
        <v>237</v>
      </c>
      <c r="N563" t="s">
        <v>1285</v>
      </c>
      <c r="O563" t="s">
        <v>1395</v>
      </c>
      <c r="P563" s="1" t="s">
        <v>689</v>
      </c>
      <c r="Q563" s="13" t="s">
        <v>25</v>
      </c>
      <c r="R563">
        <v>1</v>
      </c>
      <c r="S563">
        <v>5000</v>
      </c>
      <c r="T563"/>
      <c r="U563" s="9"/>
      <c r="V563" s="9"/>
      <c r="W563" s="9"/>
      <c r="X563" s="9"/>
    </row>
    <row r="564" spans="1:24">
      <c r="A564" s="13"/>
      <c r="B564" s="1"/>
      <c r="C564" s="1"/>
      <c r="D564" s="3" t="str">
        <f>SUBTOTAL(9,D554:D563)</f>
        <v>0</v>
      </c>
      <c r="E564"/>
      <c r="F564"/>
      <c r="G564"/>
      <c r="H564"/>
      <c r="I564"/>
      <c r="J564"/>
      <c r="K564"/>
      <c r="L564"/>
      <c r="M564" s="18" t="s">
        <v>238</v>
      </c>
      <c r="N564" t="s">
        <v>1465</v>
      </c>
      <c r="O564" t="s">
        <v>1395</v>
      </c>
      <c r="P564" s="1"/>
      <c r="Q564" s="13"/>
      <c r="R564"/>
      <c r="S564"/>
      <c r="T564"/>
      <c r="U564" s="9"/>
      <c r="V564" s="9"/>
      <c r="W564" s="9"/>
      <c r="X564" s="9"/>
    </row>
    <row r="565" spans="1:24">
      <c r="A565" s="13" t="s">
        <v>19</v>
      </c>
      <c r="B565" s="1"/>
      <c r="C565" s="1" t="s">
        <v>20</v>
      </c>
      <c r="D565" s="3">
        <v>32000</v>
      </c>
      <c r="E565"/>
      <c r="F565"/>
      <c r="G565"/>
      <c r="H565"/>
      <c r="I565"/>
      <c r="J565"/>
      <c r="K565"/>
      <c r="L565"/>
      <c r="M565" s="18" t="s">
        <v>239</v>
      </c>
      <c r="N565" t="s">
        <v>1140</v>
      </c>
      <c r="O565" t="s">
        <v>1395</v>
      </c>
      <c r="P565" s="1" t="s">
        <v>690</v>
      </c>
      <c r="Q565" s="13" t="s">
        <v>25</v>
      </c>
      <c r="R565">
        <v>1</v>
      </c>
      <c r="S565">
        <v>32000</v>
      </c>
      <c r="T565"/>
      <c r="U565" s="9"/>
      <c r="V565" s="9"/>
      <c r="W565" s="9"/>
      <c r="X565" s="9"/>
    </row>
    <row r="566" spans="1:24">
      <c r="A566" s="13" t="s">
        <v>19</v>
      </c>
      <c r="B566" s="1"/>
      <c r="C566" s="1" t="s">
        <v>29</v>
      </c>
      <c r="D566" s="3">
        <v>5000</v>
      </c>
      <c r="E566"/>
      <c r="F566"/>
      <c r="G566"/>
      <c r="H566"/>
      <c r="I566"/>
      <c r="J566"/>
      <c r="K566"/>
      <c r="L566"/>
      <c r="M566" s="18" t="s">
        <v>239</v>
      </c>
      <c r="N566" t="s">
        <v>1140</v>
      </c>
      <c r="O566" t="s">
        <v>1395</v>
      </c>
      <c r="P566" s="1" t="s">
        <v>691</v>
      </c>
      <c r="Q566" s="13" t="s">
        <v>25</v>
      </c>
      <c r="R566">
        <v>1</v>
      </c>
      <c r="S566">
        <v>5000</v>
      </c>
      <c r="T566"/>
      <c r="U566" s="9"/>
      <c r="V566" s="9"/>
      <c r="W566" s="9"/>
      <c r="X566" s="9"/>
    </row>
    <row r="567" spans="1:24">
      <c r="A567" s="13"/>
      <c r="B567" s="1"/>
      <c r="C567" s="1"/>
      <c r="D567" s="3" t="str">
        <f>SUBTOTAL(9,D565:D566)</f>
        <v>0</v>
      </c>
      <c r="E567"/>
      <c r="F567"/>
      <c r="G567"/>
      <c r="H567"/>
      <c r="I567"/>
      <c r="J567"/>
      <c r="K567"/>
      <c r="L567"/>
      <c r="M567" s="18" t="s">
        <v>240</v>
      </c>
      <c r="N567" t="s">
        <v>1466</v>
      </c>
      <c r="O567" t="s">
        <v>1395</v>
      </c>
      <c r="P567" s="1"/>
      <c r="Q567" s="13"/>
      <c r="R567"/>
      <c r="S567"/>
      <c r="T567"/>
      <c r="U567" s="9"/>
      <c r="V567" s="9"/>
      <c r="W567" s="9"/>
      <c r="X567" s="9"/>
    </row>
    <row r="568" spans="1:24">
      <c r="A568" s="13" t="s">
        <v>19</v>
      </c>
      <c r="B568" s="1"/>
      <c r="C568" s="1" t="s">
        <v>20</v>
      </c>
      <c r="D568" s="3">
        <v>64000</v>
      </c>
      <c r="E568"/>
      <c r="F568"/>
      <c r="G568"/>
      <c r="H568"/>
      <c r="I568"/>
      <c r="J568"/>
      <c r="K568"/>
      <c r="L568"/>
      <c r="M568" s="18" t="s">
        <v>241</v>
      </c>
      <c r="N568" t="s">
        <v>1306</v>
      </c>
      <c r="O568" t="s">
        <v>23</v>
      </c>
      <c r="P568" s="1" t="s">
        <v>24</v>
      </c>
      <c r="Q568" s="13" t="s">
        <v>25</v>
      </c>
      <c r="R568">
        <v>2</v>
      </c>
      <c r="S568">
        <v>32000</v>
      </c>
      <c r="T568"/>
      <c r="U568" s="9"/>
      <c r="V568" s="9"/>
      <c r="W568" s="9"/>
      <c r="X568" s="9"/>
    </row>
    <row r="569" spans="1:24">
      <c r="A569" s="13" t="s">
        <v>19</v>
      </c>
      <c r="B569" s="1"/>
      <c r="C569" s="1" t="s">
        <v>26</v>
      </c>
      <c r="D569" s="3">
        <v>37000</v>
      </c>
      <c r="E569"/>
      <c r="F569"/>
      <c r="G569"/>
      <c r="H569"/>
      <c r="I569"/>
      <c r="J569"/>
      <c r="K569"/>
      <c r="L569"/>
      <c r="M569" s="18" t="s">
        <v>241</v>
      </c>
      <c r="N569" t="s">
        <v>1306</v>
      </c>
      <c r="O569" t="s">
        <v>23</v>
      </c>
      <c r="P569" s="1" t="s">
        <v>692</v>
      </c>
      <c r="Q569" s="13" t="s">
        <v>25</v>
      </c>
      <c r="R569">
        <v>1</v>
      </c>
      <c r="S569">
        <v>37000</v>
      </c>
      <c r="T569"/>
      <c r="U569" s="9"/>
      <c r="V569" s="9"/>
      <c r="W569" s="9"/>
      <c r="X569" s="9"/>
    </row>
    <row r="570" spans="1:24">
      <c r="A570" s="13" t="s">
        <v>19</v>
      </c>
      <c r="B570" s="1"/>
      <c r="C570" s="1" t="s">
        <v>26</v>
      </c>
      <c r="D570" s="3">
        <v>74000</v>
      </c>
      <c r="E570"/>
      <c r="F570"/>
      <c r="G570"/>
      <c r="H570"/>
      <c r="I570"/>
      <c r="J570"/>
      <c r="K570"/>
      <c r="L570"/>
      <c r="M570" s="18" t="s">
        <v>241</v>
      </c>
      <c r="N570" t="s">
        <v>1306</v>
      </c>
      <c r="O570" t="s">
        <v>23</v>
      </c>
      <c r="P570" s="1" t="s">
        <v>693</v>
      </c>
      <c r="Q570" s="13" t="s">
        <v>25</v>
      </c>
      <c r="R570">
        <v>2</v>
      </c>
      <c r="S570">
        <v>37000</v>
      </c>
      <c r="T570"/>
      <c r="U570" s="9"/>
      <c r="V570" s="9"/>
      <c r="W570" s="9"/>
      <c r="X570" s="9"/>
    </row>
    <row r="571" spans="1:24">
      <c r="A571" s="13" t="s">
        <v>19</v>
      </c>
      <c r="B571" s="1"/>
      <c r="C571" s="1" t="s">
        <v>29</v>
      </c>
      <c r="D571" s="3">
        <v>10000</v>
      </c>
      <c r="E571"/>
      <c r="F571"/>
      <c r="G571"/>
      <c r="H571"/>
      <c r="I571"/>
      <c r="J571"/>
      <c r="K571"/>
      <c r="L571"/>
      <c r="M571" s="18" t="s">
        <v>241</v>
      </c>
      <c r="N571" t="s">
        <v>1306</v>
      </c>
      <c r="O571" t="s">
        <v>23</v>
      </c>
      <c r="P571" s="1" t="s">
        <v>30</v>
      </c>
      <c r="Q571" s="13" t="s">
        <v>25</v>
      </c>
      <c r="R571">
        <v>2</v>
      </c>
      <c r="S571">
        <v>5000</v>
      </c>
      <c r="T571"/>
      <c r="U571" s="9"/>
      <c r="V571" s="9"/>
      <c r="W571" s="9"/>
      <c r="X571" s="9"/>
    </row>
    <row r="572" spans="1:24">
      <c r="A572" s="13" t="s">
        <v>19</v>
      </c>
      <c r="B572" s="1"/>
      <c r="C572" s="1" t="s">
        <v>32</v>
      </c>
      <c r="D572" s="3">
        <v>5000</v>
      </c>
      <c r="E572"/>
      <c r="F572"/>
      <c r="G572"/>
      <c r="H572"/>
      <c r="I572"/>
      <c r="J572"/>
      <c r="K572"/>
      <c r="L572"/>
      <c r="M572" s="18" t="s">
        <v>241</v>
      </c>
      <c r="N572" t="s">
        <v>1306</v>
      </c>
      <c r="O572" t="s">
        <v>23</v>
      </c>
      <c r="P572" s="1" t="s">
        <v>694</v>
      </c>
      <c r="Q572" s="13" t="s">
        <v>25</v>
      </c>
      <c r="R572">
        <v>1</v>
      </c>
      <c r="S572">
        <v>5000</v>
      </c>
      <c r="T572"/>
      <c r="U572" s="9"/>
      <c r="V572" s="9"/>
      <c r="W572" s="9"/>
      <c r="X572" s="9"/>
    </row>
    <row r="573" spans="1:24">
      <c r="A573" s="13" t="s">
        <v>19</v>
      </c>
      <c r="B573" s="1"/>
      <c r="C573" s="1" t="s">
        <v>32</v>
      </c>
      <c r="D573" s="3">
        <v>10000</v>
      </c>
      <c r="E573"/>
      <c r="F573"/>
      <c r="G573"/>
      <c r="H573"/>
      <c r="I573"/>
      <c r="J573"/>
      <c r="K573"/>
      <c r="L573"/>
      <c r="M573" s="18" t="s">
        <v>241</v>
      </c>
      <c r="N573" t="s">
        <v>1306</v>
      </c>
      <c r="O573" t="s">
        <v>23</v>
      </c>
      <c r="P573" s="1" t="s">
        <v>695</v>
      </c>
      <c r="Q573" s="13" t="s">
        <v>25</v>
      </c>
      <c r="R573">
        <v>2</v>
      </c>
      <c r="S573">
        <v>5000</v>
      </c>
      <c r="T573"/>
      <c r="U573" s="9"/>
      <c r="V573" s="9"/>
      <c r="W573" s="9"/>
      <c r="X573" s="9"/>
    </row>
    <row r="574" spans="1:24">
      <c r="A574" s="13"/>
      <c r="B574" s="1"/>
      <c r="C574" s="1"/>
      <c r="D574" s="3" t="str">
        <f>SUBTOTAL(9,D568:D573)</f>
        <v>0</v>
      </c>
      <c r="E574"/>
      <c r="F574"/>
      <c r="G574"/>
      <c r="H574"/>
      <c r="I574"/>
      <c r="J574"/>
      <c r="K574"/>
      <c r="L574"/>
      <c r="M574" s="18" t="s">
        <v>242</v>
      </c>
      <c r="N574" t="s">
        <v>1467</v>
      </c>
      <c r="O574" t="s">
        <v>23</v>
      </c>
      <c r="P574" s="1"/>
      <c r="Q574" s="13"/>
      <c r="R574"/>
      <c r="S574"/>
      <c r="T574"/>
      <c r="U574" s="9"/>
      <c r="V574" s="9"/>
      <c r="W574" s="9"/>
      <c r="X574" s="9"/>
    </row>
    <row r="575" spans="1:24">
      <c r="A575" s="13" t="s">
        <v>19</v>
      </c>
      <c r="B575" s="1"/>
      <c r="C575" s="1" t="s">
        <v>20</v>
      </c>
      <c r="D575" s="3">
        <v>96000</v>
      </c>
      <c r="E575"/>
      <c r="F575"/>
      <c r="G575"/>
      <c r="H575"/>
      <c r="I575"/>
      <c r="J575"/>
      <c r="K575"/>
      <c r="L575"/>
      <c r="M575" s="18" t="s">
        <v>243</v>
      </c>
      <c r="N575" t="s">
        <v>1219</v>
      </c>
      <c r="O575" t="s">
        <v>1395</v>
      </c>
      <c r="P575" s="1" t="s">
        <v>24</v>
      </c>
      <c r="Q575" s="13" t="s">
        <v>25</v>
      </c>
      <c r="R575">
        <v>3</v>
      </c>
      <c r="S575">
        <v>32000</v>
      </c>
      <c r="T575"/>
      <c r="U575" s="9"/>
      <c r="V575" s="9"/>
      <c r="W575" s="9"/>
      <c r="X575" s="9"/>
    </row>
    <row r="576" spans="1:24">
      <c r="A576" s="13" t="s">
        <v>19</v>
      </c>
      <c r="B576" s="1"/>
      <c r="C576" s="1" t="s">
        <v>20</v>
      </c>
      <c r="D576" s="3">
        <v>96000</v>
      </c>
      <c r="E576"/>
      <c r="F576"/>
      <c r="G576"/>
      <c r="H576"/>
      <c r="I576"/>
      <c r="J576"/>
      <c r="K576"/>
      <c r="L576"/>
      <c r="M576" s="18" t="s">
        <v>243</v>
      </c>
      <c r="N576" t="s">
        <v>1219</v>
      </c>
      <c r="O576" t="s">
        <v>1395</v>
      </c>
      <c r="P576" s="1" t="s">
        <v>24</v>
      </c>
      <c r="Q576" s="13" t="s">
        <v>25</v>
      </c>
      <c r="R576">
        <v>3</v>
      </c>
      <c r="S576">
        <v>32000</v>
      </c>
      <c r="T576"/>
      <c r="U576" s="9"/>
      <c r="V576" s="9"/>
      <c r="W576" s="9"/>
      <c r="X576" s="9"/>
    </row>
    <row r="577" spans="1:24">
      <c r="A577" s="13" t="s">
        <v>19</v>
      </c>
      <c r="B577" s="1"/>
      <c r="C577" s="1" t="s">
        <v>29</v>
      </c>
      <c r="D577" s="3">
        <v>15000</v>
      </c>
      <c r="E577"/>
      <c r="F577"/>
      <c r="G577"/>
      <c r="H577"/>
      <c r="I577"/>
      <c r="J577"/>
      <c r="K577"/>
      <c r="L577"/>
      <c r="M577" s="18" t="s">
        <v>243</v>
      </c>
      <c r="N577" t="s">
        <v>1219</v>
      </c>
      <c r="O577" t="s">
        <v>1395</v>
      </c>
      <c r="P577" s="1" t="s">
        <v>30</v>
      </c>
      <c r="Q577" s="13" t="s">
        <v>25</v>
      </c>
      <c r="R577">
        <v>3</v>
      </c>
      <c r="S577">
        <v>5000</v>
      </c>
      <c r="T577"/>
      <c r="U577" s="9"/>
      <c r="V577" s="9"/>
      <c r="W577" s="9"/>
      <c r="X577" s="9"/>
    </row>
    <row r="578" spans="1:24">
      <c r="A578" s="13" t="s">
        <v>19</v>
      </c>
      <c r="B578" s="1"/>
      <c r="C578" s="1" t="s">
        <v>29</v>
      </c>
      <c r="D578" s="3">
        <v>15000</v>
      </c>
      <c r="E578"/>
      <c r="F578"/>
      <c r="G578"/>
      <c r="H578"/>
      <c r="I578"/>
      <c r="J578"/>
      <c r="K578"/>
      <c r="L578"/>
      <c r="M578" s="18" t="s">
        <v>243</v>
      </c>
      <c r="N578" t="s">
        <v>1219</v>
      </c>
      <c r="O578" t="s">
        <v>1395</v>
      </c>
      <c r="P578" s="1" t="s">
        <v>30</v>
      </c>
      <c r="Q578" s="13" t="s">
        <v>25</v>
      </c>
      <c r="R578">
        <v>3</v>
      </c>
      <c r="S578">
        <v>5000</v>
      </c>
      <c r="T578"/>
      <c r="U578" s="9"/>
      <c r="V578" s="9"/>
      <c r="W578" s="9"/>
      <c r="X578" s="9"/>
    </row>
    <row r="579" spans="1:24">
      <c r="A579" s="13"/>
      <c r="B579" s="1"/>
      <c r="C579" s="1"/>
      <c r="D579" s="3" t="str">
        <f>SUBTOTAL(9,D575:D578)</f>
        <v>0</v>
      </c>
      <c r="E579"/>
      <c r="F579"/>
      <c r="G579"/>
      <c r="H579"/>
      <c r="I579"/>
      <c r="J579"/>
      <c r="K579"/>
      <c r="L579"/>
      <c r="M579" s="18" t="s">
        <v>244</v>
      </c>
      <c r="N579" t="s">
        <v>1468</v>
      </c>
      <c r="O579" t="s">
        <v>1395</v>
      </c>
      <c r="P579" s="1"/>
      <c r="Q579" s="13"/>
      <c r="R579"/>
      <c r="S579"/>
      <c r="T579"/>
      <c r="U579" s="9"/>
      <c r="V579" s="9"/>
      <c r="W579" s="9"/>
      <c r="X579" s="9"/>
    </row>
    <row r="580" spans="1:24">
      <c r="A580" s="13" t="s">
        <v>19</v>
      </c>
      <c r="B580" s="1"/>
      <c r="C580" s="1" t="s">
        <v>20</v>
      </c>
      <c r="D580" s="3">
        <v>96000</v>
      </c>
      <c r="E580"/>
      <c r="F580"/>
      <c r="G580"/>
      <c r="H580"/>
      <c r="I580"/>
      <c r="J580"/>
      <c r="K580"/>
      <c r="L580"/>
      <c r="M580" s="18" t="s">
        <v>245</v>
      </c>
      <c r="N580" t="s">
        <v>1325</v>
      </c>
      <c r="O580" t="s">
        <v>1395</v>
      </c>
      <c r="P580" s="1" t="s">
        <v>502</v>
      </c>
      <c r="Q580" s="13" t="s">
        <v>25</v>
      </c>
      <c r="R580">
        <v>3</v>
      </c>
      <c r="S580">
        <v>32000</v>
      </c>
      <c r="T580"/>
      <c r="U580" s="9"/>
      <c r="V580" s="9"/>
      <c r="W580" s="9"/>
      <c r="X580" s="9"/>
    </row>
    <row r="581" spans="1:24">
      <c r="A581" s="13" t="s">
        <v>19</v>
      </c>
      <c r="B581" s="1"/>
      <c r="C581" s="1" t="s">
        <v>20</v>
      </c>
      <c r="D581" s="3">
        <v>96000</v>
      </c>
      <c r="E581"/>
      <c r="F581"/>
      <c r="G581"/>
      <c r="H581"/>
      <c r="I581"/>
      <c r="J581"/>
      <c r="K581"/>
      <c r="L581"/>
      <c r="M581" s="18" t="s">
        <v>245</v>
      </c>
      <c r="N581" t="s">
        <v>1325</v>
      </c>
      <c r="O581" t="s">
        <v>1395</v>
      </c>
      <c r="P581" s="1" t="s">
        <v>554</v>
      </c>
      <c r="Q581" s="13" t="s">
        <v>25</v>
      </c>
      <c r="R581">
        <v>3</v>
      </c>
      <c r="S581">
        <v>32000</v>
      </c>
      <c r="T581"/>
      <c r="U581" s="9"/>
      <c r="V581" s="9"/>
      <c r="W581" s="9"/>
      <c r="X581" s="9"/>
    </row>
    <row r="582" spans="1:24">
      <c r="A582" s="13" t="s">
        <v>19</v>
      </c>
      <c r="B582" s="1"/>
      <c r="C582" s="1" t="s">
        <v>20</v>
      </c>
      <c r="D582" s="3">
        <v>64000</v>
      </c>
      <c r="E582"/>
      <c r="F582"/>
      <c r="G582"/>
      <c r="H582"/>
      <c r="I582"/>
      <c r="J582"/>
      <c r="K582"/>
      <c r="L582"/>
      <c r="M582" s="18" t="s">
        <v>245</v>
      </c>
      <c r="N582" t="s">
        <v>1325</v>
      </c>
      <c r="O582" t="s">
        <v>1395</v>
      </c>
      <c r="P582" s="1" t="s">
        <v>602</v>
      </c>
      <c r="Q582" s="13" t="s">
        <v>25</v>
      </c>
      <c r="R582">
        <v>2</v>
      </c>
      <c r="S582">
        <v>32000</v>
      </c>
      <c r="T582"/>
      <c r="U582" s="9"/>
      <c r="V582" s="9"/>
      <c r="W582" s="9"/>
      <c r="X582" s="9"/>
    </row>
    <row r="583" spans="1:24">
      <c r="A583" s="13" t="s">
        <v>19</v>
      </c>
      <c r="B583" s="1"/>
      <c r="C583" s="1" t="s">
        <v>20</v>
      </c>
      <c r="D583" s="3">
        <v>64000</v>
      </c>
      <c r="E583"/>
      <c r="F583"/>
      <c r="G583"/>
      <c r="H583"/>
      <c r="I583"/>
      <c r="J583"/>
      <c r="K583"/>
      <c r="L583"/>
      <c r="M583" s="18" t="s">
        <v>245</v>
      </c>
      <c r="N583" t="s">
        <v>1325</v>
      </c>
      <c r="O583" t="s">
        <v>1395</v>
      </c>
      <c r="P583" s="1" t="s">
        <v>497</v>
      </c>
      <c r="Q583" s="13" t="s">
        <v>25</v>
      </c>
      <c r="R583">
        <v>2</v>
      </c>
      <c r="S583">
        <v>32000</v>
      </c>
      <c r="T583"/>
      <c r="U583" s="9"/>
      <c r="V583" s="9"/>
      <c r="W583" s="9"/>
      <c r="X583" s="9"/>
    </row>
    <row r="584" spans="1:24">
      <c r="A584" s="13" t="s">
        <v>19</v>
      </c>
      <c r="B584" s="1"/>
      <c r="C584" s="1" t="s">
        <v>20</v>
      </c>
      <c r="D584" s="3">
        <v>64000</v>
      </c>
      <c r="E584"/>
      <c r="F584"/>
      <c r="G584"/>
      <c r="H584"/>
      <c r="I584"/>
      <c r="J584"/>
      <c r="K584"/>
      <c r="L584"/>
      <c r="M584" s="18" t="s">
        <v>245</v>
      </c>
      <c r="N584" t="s">
        <v>1325</v>
      </c>
      <c r="O584" t="s">
        <v>1395</v>
      </c>
      <c r="P584" s="1" t="s">
        <v>696</v>
      </c>
      <c r="Q584" s="13" t="s">
        <v>25</v>
      </c>
      <c r="R584">
        <v>2</v>
      </c>
      <c r="S584">
        <v>32000</v>
      </c>
      <c r="T584"/>
      <c r="U584" s="9"/>
      <c r="V584" s="9"/>
      <c r="W584" s="9"/>
      <c r="X584" s="9"/>
    </row>
    <row r="585" spans="1:24">
      <c r="A585" s="13" t="s">
        <v>19</v>
      </c>
      <c r="B585" s="1"/>
      <c r="C585" s="1" t="s">
        <v>20</v>
      </c>
      <c r="D585" s="3">
        <v>32000</v>
      </c>
      <c r="E585"/>
      <c r="F585"/>
      <c r="G585"/>
      <c r="H585"/>
      <c r="I585"/>
      <c r="J585"/>
      <c r="K585"/>
      <c r="L585"/>
      <c r="M585" s="18" t="s">
        <v>245</v>
      </c>
      <c r="N585" t="s">
        <v>1325</v>
      </c>
      <c r="O585" t="s">
        <v>1395</v>
      </c>
      <c r="P585" s="1" t="s">
        <v>697</v>
      </c>
      <c r="Q585" s="13" t="s">
        <v>25</v>
      </c>
      <c r="R585">
        <v>1</v>
      </c>
      <c r="S585">
        <v>32000</v>
      </c>
      <c r="T585"/>
      <c r="U585" s="9"/>
      <c r="V585" s="9"/>
      <c r="W585" s="9"/>
      <c r="X585" s="9"/>
    </row>
    <row r="586" spans="1:24">
      <c r="A586" s="13" t="s">
        <v>19</v>
      </c>
      <c r="B586" s="1"/>
      <c r="C586" s="1" t="s">
        <v>20</v>
      </c>
      <c r="D586" s="3">
        <v>64000</v>
      </c>
      <c r="E586"/>
      <c r="F586"/>
      <c r="G586"/>
      <c r="H586"/>
      <c r="I586"/>
      <c r="J586"/>
      <c r="K586"/>
      <c r="L586"/>
      <c r="M586" s="18" t="s">
        <v>245</v>
      </c>
      <c r="N586" t="s">
        <v>1325</v>
      </c>
      <c r="O586" t="s">
        <v>1395</v>
      </c>
      <c r="P586" s="1" t="s">
        <v>698</v>
      </c>
      <c r="Q586" s="13" t="s">
        <v>25</v>
      </c>
      <c r="R586">
        <v>2</v>
      </c>
      <c r="S586">
        <v>32000</v>
      </c>
      <c r="T586"/>
      <c r="U586" s="9"/>
      <c r="V586" s="9"/>
      <c r="W586" s="9"/>
      <c r="X586" s="9"/>
    </row>
    <row r="587" spans="1:24">
      <c r="A587" s="13" t="s">
        <v>19</v>
      </c>
      <c r="B587" s="1"/>
      <c r="C587" s="1" t="s">
        <v>20</v>
      </c>
      <c r="D587" s="3">
        <v>64000</v>
      </c>
      <c r="E587"/>
      <c r="F587"/>
      <c r="G587"/>
      <c r="H587"/>
      <c r="I587"/>
      <c r="J587"/>
      <c r="K587"/>
      <c r="L587"/>
      <c r="M587" s="18" t="s">
        <v>245</v>
      </c>
      <c r="N587" t="s">
        <v>1325</v>
      </c>
      <c r="O587" t="s">
        <v>1395</v>
      </c>
      <c r="P587" s="1" t="s">
        <v>699</v>
      </c>
      <c r="Q587" s="13" t="s">
        <v>25</v>
      </c>
      <c r="R587">
        <v>2</v>
      </c>
      <c r="S587">
        <v>32000</v>
      </c>
      <c r="T587"/>
      <c r="U587" s="9"/>
      <c r="V587" s="9"/>
      <c r="W587" s="9"/>
      <c r="X587" s="9"/>
    </row>
    <row r="588" spans="1:24">
      <c r="A588" s="13" t="s">
        <v>19</v>
      </c>
      <c r="B588" s="1"/>
      <c r="C588" s="1" t="s">
        <v>20</v>
      </c>
      <c r="D588" s="3">
        <v>96000</v>
      </c>
      <c r="E588"/>
      <c r="F588"/>
      <c r="G588"/>
      <c r="H588"/>
      <c r="I588"/>
      <c r="J588"/>
      <c r="K588"/>
      <c r="L588"/>
      <c r="M588" s="18" t="s">
        <v>245</v>
      </c>
      <c r="N588" t="s">
        <v>1325</v>
      </c>
      <c r="O588" t="s">
        <v>1395</v>
      </c>
      <c r="P588" s="1" t="s">
        <v>700</v>
      </c>
      <c r="Q588" s="13" t="s">
        <v>25</v>
      </c>
      <c r="R588">
        <v>3</v>
      </c>
      <c r="S588">
        <v>32000</v>
      </c>
      <c r="T588"/>
      <c r="U588" s="9"/>
      <c r="V588" s="9"/>
      <c r="W588" s="9"/>
      <c r="X588" s="9"/>
    </row>
    <row r="589" spans="1:24">
      <c r="A589" s="13" t="s">
        <v>19</v>
      </c>
      <c r="B589" s="1"/>
      <c r="C589" s="1" t="s">
        <v>26</v>
      </c>
      <c r="D589" s="3">
        <v>22000</v>
      </c>
      <c r="E589"/>
      <c r="F589"/>
      <c r="G589"/>
      <c r="H589"/>
      <c r="I589"/>
      <c r="J589"/>
      <c r="K589"/>
      <c r="L589"/>
      <c r="M589" s="18" t="s">
        <v>245</v>
      </c>
      <c r="N589" t="s">
        <v>1325</v>
      </c>
      <c r="O589" t="s">
        <v>1395</v>
      </c>
      <c r="P589" s="1" t="s">
        <v>701</v>
      </c>
      <c r="Q589" s="13" t="s">
        <v>25</v>
      </c>
      <c r="R589">
        <v>1</v>
      </c>
      <c r="S589">
        <v>22000</v>
      </c>
      <c r="T589"/>
      <c r="U589" s="9"/>
      <c r="V589" s="9"/>
      <c r="W589" s="9"/>
      <c r="X589" s="9"/>
    </row>
    <row r="590" spans="1:24">
      <c r="A590" s="13" t="s">
        <v>19</v>
      </c>
      <c r="B590" s="1"/>
      <c r="C590" s="1" t="s">
        <v>26</v>
      </c>
      <c r="D590" s="3">
        <v>22000</v>
      </c>
      <c r="E590"/>
      <c r="F590"/>
      <c r="G590"/>
      <c r="H590"/>
      <c r="I590"/>
      <c r="J590"/>
      <c r="K590"/>
      <c r="L590"/>
      <c r="M590" s="18" t="s">
        <v>245</v>
      </c>
      <c r="N590" t="s">
        <v>1325</v>
      </c>
      <c r="O590" t="s">
        <v>1395</v>
      </c>
      <c r="P590" s="1" t="s">
        <v>702</v>
      </c>
      <c r="Q590" s="13" t="s">
        <v>25</v>
      </c>
      <c r="R590">
        <v>1</v>
      </c>
      <c r="S590">
        <v>22000</v>
      </c>
      <c r="T590"/>
      <c r="U590" s="9"/>
      <c r="V590" s="9"/>
      <c r="W590" s="9"/>
      <c r="X590" s="9"/>
    </row>
    <row r="591" spans="1:24">
      <c r="A591" s="13" t="s">
        <v>19</v>
      </c>
      <c r="B591" s="1"/>
      <c r="C591" s="1" t="s">
        <v>26</v>
      </c>
      <c r="D591" s="3">
        <v>66000</v>
      </c>
      <c r="E591"/>
      <c r="F591"/>
      <c r="G591"/>
      <c r="H591"/>
      <c r="I591"/>
      <c r="J591"/>
      <c r="K591"/>
      <c r="L591"/>
      <c r="M591" s="18" t="s">
        <v>245</v>
      </c>
      <c r="N591" t="s">
        <v>1325</v>
      </c>
      <c r="O591" t="s">
        <v>1395</v>
      </c>
      <c r="P591" s="1" t="s">
        <v>703</v>
      </c>
      <c r="Q591" s="13" t="s">
        <v>25</v>
      </c>
      <c r="R591">
        <v>3</v>
      </c>
      <c r="S591">
        <v>22000</v>
      </c>
      <c r="T591"/>
      <c r="U591" s="9"/>
      <c r="V591" s="9"/>
      <c r="W591" s="9"/>
      <c r="X591" s="9"/>
    </row>
    <row r="592" spans="1:24">
      <c r="A592" s="13" t="s">
        <v>19</v>
      </c>
      <c r="B592" s="1"/>
      <c r="C592" s="1" t="s">
        <v>26</v>
      </c>
      <c r="D592" s="3">
        <v>22000</v>
      </c>
      <c r="E592"/>
      <c r="F592"/>
      <c r="G592"/>
      <c r="H592"/>
      <c r="I592"/>
      <c r="J592"/>
      <c r="K592"/>
      <c r="L592"/>
      <c r="M592" s="18" t="s">
        <v>245</v>
      </c>
      <c r="N592" t="s">
        <v>1325</v>
      </c>
      <c r="O592" t="s">
        <v>1395</v>
      </c>
      <c r="P592" s="1" t="s">
        <v>704</v>
      </c>
      <c r="Q592" s="13" t="s">
        <v>25</v>
      </c>
      <c r="R592">
        <v>1</v>
      </c>
      <c r="S592">
        <v>22000</v>
      </c>
      <c r="T592"/>
      <c r="U592" s="9"/>
      <c r="V592" s="9"/>
      <c r="W592" s="9"/>
      <c r="X592" s="9"/>
    </row>
    <row r="593" spans="1:24">
      <c r="A593" s="13" t="s">
        <v>19</v>
      </c>
      <c r="B593" s="1"/>
      <c r="C593" s="1" t="s">
        <v>29</v>
      </c>
      <c r="D593" s="3">
        <v>15000</v>
      </c>
      <c r="E593"/>
      <c r="F593"/>
      <c r="G593"/>
      <c r="H593"/>
      <c r="I593"/>
      <c r="J593"/>
      <c r="K593"/>
      <c r="L593"/>
      <c r="M593" s="18" t="s">
        <v>245</v>
      </c>
      <c r="N593" t="s">
        <v>1325</v>
      </c>
      <c r="O593" t="s">
        <v>1395</v>
      </c>
      <c r="P593" s="1" t="s">
        <v>503</v>
      </c>
      <c r="Q593" s="13" t="s">
        <v>25</v>
      </c>
      <c r="R593">
        <v>3</v>
      </c>
      <c r="S593">
        <v>5000</v>
      </c>
      <c r="T593"/>
      <c r="U593" s="9"/>
      <c r="V593" s="9"/>
      <c r="W593" s="9"/>
      <c r="X593" s="9"/>
    </row>
    <row r="594" spans="1:24">
      <c r="A594" s="13" t="s">
        <v>19</v>
      </c>
      <c r="B594" s="1"/>
      <c r="C594" s="1" t="s">
        <v>29</v>
      </c>
      <c r="D594" s="3">
        <v>15000</v>
      </c>
      <c r="E594"/>
      <c r="F594"/>
      <c r="G594"/>
      <c r="H594"/>
      <c r="I594"/>
      <c r="J594"/>
      <c r="K594"/>
      <c r="L594"/>
      <c r="M594" s="18" t="s">
        <v>245</v>
      </c>
      <c r="N594" t="s">
        <v>1325</v>
      </c>
      <c r="O594" t="s">
        <v>1395</v>
      </c>
      <c r="P594" s="1" t="s">
        <v>555</v>
      </c>
      <c r="Q594" s="13" t="s">
        <v>25</v>
      </c>
      <c r="R594">
        <v>3</v>
      </c>
      <c r="S594">
        <v>5000</v>
      </c>
      <c r="T594"/>
      <c r="U594" s="9"/>
      <c r="V594" s="9"/>
      <c r="W594" s="9"/>
      <c r="X594" s="9"/>
    </row>
    <row r="595" spans="1:24">
      <c r="A595" s="13" t="s">
        <v>19</v>
      </c>
      <c r="B595" s="1"/>
      <c r="C595" s="1" t="s">
        <v>29</v>
      </c>
      <c r="D595" s="3">
        <v>10000</v>
      </c>
      <c r="E595"/>
      <c r="F595"/>
      <c r="G595"/>
      <c r="H595"/>
      <c r="I595"/>
      <c r="J595"/>
      <c r="K595"/>
      <c r="L595"/>
      <c r="M595" s="18" t="s">
        <v>245</v>
      </c>
      <c r="N595" t="s">
        <v>1325</v>
      </c>
      <c r="O595" t="s">
        <v>1395</v>
      </c>
      <c r="P595" s="1" t="s">
        <v>612</v>
      </c>
      <c r="Q595" s="13" t="s">
        <v>25</v>
      </c>
      <c r="R595">
        <v>2</v>
      </c>
      <c r="S595">
        <v>5000</v>
      </c>
      <c r="T595"/>
      <c r="U595" s="9"/>
      <c r="V595" s="9"/>
      <c r="W595" s="9"/>
      <c r="X595" s="9"/>
    </row>
    <row r="596" spans="1:24">
      <c r="A596" s="13" t="s">
        <v>19</v>
      </c>
      <c r="B596" s="1"/>
      <c r="C596" s="1" t="s">
        <v>29</v>
      </c>
      <c r="D596" s="3">
        <v>10000</v>
      </c>
      <c r="E596"/>
      <c r="F596"/>
      <c r="G596"/>
      <c r="H596"/>
      <c r="I596"/>
      <c r="J596"/>
      <c r="K596"/>
      <c r="L596"/>
      <c r="M596" s="18" t="s">
        <v>245</v>
      </c>
      <c r="N596" t="s">
        <v>1325</v>
      </c>
      <c r="O596" t="s">
        <v>1395</v>
      </c>
      <c r="P596" s="1" t="s">
        <v>501</v>
      </c>
      <c r="Q596" s="13" t="s">
        <v>25</v>
      </c>
      <c r="R596">
        <v>2</v>
      </c>
      <c r="S596">
        <v>5000</v>
      </c>
      <c r="T596"/>
      <c r="U596" s="9"/>
      <c r="V596" s="9"/>
      <c r="W596" s="9"/>
      <c r="X596" s="9"/>
    </row>
    <row r="597" spans="1:24">
      <c r="A597" s="13" t="s">
        <v>19</v>
      </c>
      <c r="B597" s="1"/>
      <c r="C597" s="1" t="s">
        <v>29</v>
      </c>
      <c r="D597" s="3">
        <v>10000</v>
      </c>
      <c r="E597"/>
      <c r="F597"/>
      <c r="G597"/>
      <c r="H597"/>
      <c r="I597"/>
      <c r="J597"/>
      <c r="K597"/>
      <c r="L597"/>
      <c r="M597" s="18" t="s">
        <v>245</v>
      </c>
      <c r="N597" t="s">
        <v>1325</v>
      </c>
      <c r="O597" t="s">
        <v>1395</v>
      </c>
      <c r="P597" s="1" t="s">
        <v>705</v>
      </c>
      <c r="Q597" s="13" t="s">
        <v>25</v>
      </c>
      <c r="R597">
        <v>2</v>
      </c>
      <c r="S597">
        <v>5000</v>
      </c>
      <c r="T597"/>
      <c r="U597" s="9"/>
      <c r="V597" s="9"/>
      <c r="W597" s="9"/>
      <c r="X597" s="9"/>
    </row>
    <row r="598" spans="1:24">
      <c r="A598" s="13" t="s">
        <v>19</v>
      </c>
      <c r="B598" s="1"/>
      <c r="C598" s="1" t="s">
        <v>29</v>
      </c>
      <c r="D598" s="3">
        <v>5000</v>
      </c>
      <c r="E598"/>
      <c r="F598"/>
      <c r="G598"/>
      <c r="H598"/>
      <c r="I598"/>
      <c r="J598"/>
      <c r="K598"/>
      <c r="L598"/>
      <c r="M598" s="18" t="s">
        <v>245</v>
      </c>
      <c r="N598" t="s">
        <v>1325</v>
      </c>
      <c r="O598" t="s">
        <v>1395</v>
      </c>
      <c r="P598" s="1" t="s">
        <v>706</v>
      </c>
      <c r="Q598" s="13" t="s">
        <v>25</v>
      </c>
      <c r="R598">
        <v>1</v>
      </c>
      <c r="S598">
        <v>5000</v>
      </c>
      <c r="T598"/>
      <c r="U598" s="9"/>
      <c r="V598" s="9"/>
      <c r="W598" s="9"/>
      <c r="X598" s="9"/>
    </row>
    <row r="599" spans="1:24">
      <c r="A599" s="13" t="s">
        <v>19</v>
      </c>
      <c r="B599" s="1"/>
      <c r="C599" s="1" t="s">
        <v>29</v>
      </c>
      <c r="D599" s="3">
        <v>10000</v>
      </c>
      <c r="E599"/>
      <c r="F599"/>
      <c r="G599"/>
      <c r="H599"/>
      <c r="I599"/>
      <c r="J599"/>
      <c r="K599"/>
      <c r="L599"/>
      <c r="M599" s="18" t="s">
        <v>245</v>
      </c>
      <c r="N599" t="s">
        <v>1325</v>
      </c>
      <c r="O599" t="s">
        <v>1395</v>
      </c>
      <c r="P599" s="1" t="s">
        <v>707</v>
      </c>
      <c r="Q599" s="13" t="s">
        <v>25</v>
      </c>
      <c r="R599">
        <v>2</v>
      </c>
      <c r="S599">
        <v>5000</v>
      </c>
      <c r="T599"/>
      <c r="U599" s="9"/>
      <c r="V599" s="9"/>
      <c r="W599" s="9"/>
      <c r="X599" s="9"/>
    </row>
    <row r="600" spans="1:24">
      <c r="A600" s="13" t="s">
        <v>19</v>
      </c>
      <c r="B600" s="1"/>
      <c r="C600" s="1" t="s">
        <v>29</v>
      </c>
      <c r="D600" s="3">
        <v>10000</v>
      </c>
      <c r="E600"/>
      <c r="F600"/>
      <c r="G600"/>
      <c r="H600"/>
      <c r="I600"/>
      <c r="J600"/>
      <c r="K600"/>
      <c r="L600"/>
      <c r="M600" s="18" t="s">
        <v>245</v>
      </c>
      <c r="N600" t="s">
        <v>1325</v>
      </c>
      <c r="O600" t="s">
        <v>1395</v>
      </c>
      <c r="P600" s="1" t="s">
        <v>708</v>
      </c>
      <c r="Q600" s="13" t="s">
        <v>25</v>
      </c>
      <c r="R600">
        <v>2</v>
      </c>
      <c r="S600">
        <v>5000</v>
      </c>
      <c r="T600"/>
      <c r="U600" s="9"/>
      <c r="V600" s="9"/>
      <c r="W600" s="9"/>
      <c r="X600" s="9"/>
    </row>
    <row r="601" spans="1:24">
      <c r="A601" s="13" t="s">
        <v>19</v>
      </c>
      <c r="B601" s="1"/>
      <c r="C601" s="1" t="s">
        <v>29</v>
      </c>
      <c r="D601" s="3">
        <v>15000</v>
      </c>
      <c r="E601"/>
      <c r="F601"/>
      <c r="G601"/>
      <c r="H601"/>
      <c r="I601"/>
      <c r="J601"/>
      <c r="K601"/>
      <c r="L601"/>
      <c r="M601" s="18" t="s">
        <v>245</v>
      </c>
      <c r="N601" t="s">
        <v>1325</v>
      </c>
      <c r="O601" t="s">
        <v>1395</v>
      </c>
      <c r="P601" s="1" t="s">
        <v>709</v>
      </c>
      <c r="Q601" s="13" t="s">
        <v>25</v>
      </c>
      <c r="R601">
        <v>3</v>
      </c>
      <c r="S601">
        <v>5000</v>
      </c>
      <c r="T601"/>
      <c r="U601" s="9"/>
      <c r="V601" s="9"/>
      <c r="W601" s="9"/>
      <c r="X601" s="9"/>
    </row>
    <row r="602" spans="1:24">
      <c r="A602" s="13" t="s">
        <v>19</v>
      </c>
      <c r="B602" s="1"/>
      <c r="C602" s="1" t="s">
        <v>32</v>
      </c>
      <c r="D602" s="3">
        <v>5000</v>
      </c>
      <c r="E602"/>
      <c r="F602"/>
      <c r="G602"/>
      <c r="H602"/>
      <c r="I602"/>
      <c r="J602"/>
      <c r="K602"/>
      <c r="L602"/>
      <c r="M602" s="18" t="s">
        <v>245</v>
      </c>
      <c r="N602" t="s">
        <v>1325</v>
      </c>
      <c r="O602" t="s">
        <v>1395</v>
      </c>
      <c r="P602" s="1" t="s">
        <v>710</v>
      </c>
      <c r="Q602" s="13" t="s">
        <v>25</v>
      </c>
      <c r="R602">
        <v>1</v>
      </c>
      <c r="S602">
        <v>5000</v>
      </c>
      <c r="T602"/>
      <c r="U602" s="9"/>
      <c r="V602" s="9"/>
      <c r="W602" s="9"/>
      <c r="X602" s="9"/>
    </row>
    <row r="603" spans="1:24">
      <c r="A603" s="13" t="s">
        <v>19</v>
      </c>
      <c r="B603" s="1"/>
      <c r="C603" s="1" t="s">
        <v>32</v>
      </c>
      <c r="D603" s="3">
        <v>5000</v>
      </c>
      <c r="E603"/>
      <c r="F603"/>
      <c r="G603"/>
      <c r="H603"/>
      <c r="I603"/>
      <c r="J603"/>
      <c r="K603"/>
      <c r="L603"/>
      <c r="M603" s="18" t="s">
        <v>245</v>
      </c>
      <c r="N603" t="s">
        <v>1325</v>
      </c>
      <c r="O603" t="s">
        <v>1395</v>
      </c>
      <c r="P603" s="1" t="s">
        <v>711</v>
      </c>
      <c r="Q603" s="13" t="s">
        <v>25</v>
      </c>
      <c r="R603">
        <v>1</v>
      </c>
      <c r="S603">
        <v>5000</v>
      </c>
      <c r="T603"/>
      <c r="U603" s="9"/>
      <c r="V603" s="9"/>
      <c r="W603" s="9"/>
      <c r="X603" s="9"/>
    </row>
    <row r="604" spans="1:24">
      <c r="A604" s="13" t="s">
        <v>19</v>
      </c>
      <c r="B604" s="1"/>
      <c r="C604" s="1" t="s">
        <v>32</v>
      </c>
      <c r="D604" s="3">
        <v>15000</v>
      </c>
      <c r="E604"/>
      <c r="F604"/>
      <c r="G604"/>
      <c r="H604"/>
      <c r="I604"/>
      <c r="J604"/>
      <c r="K604"/>
      <c r="L604"/>
      <c r="M604" s="18" t="s">
        <v>245</v>
      </c>
      <c r="N604" t="s">
        <v>1325</v>
      </c>
      <c r="O604" t="s">
        <v>1395</v>
      </c>
      <c r="P604" s="1" t="s">
        <v>712</v>
      </c>
      <c r="Q604" s="13" t="s">
        <v>25</v>
      </c>
      <c r="R604">
        <v>3</v>
      </c>
      <c r="S604">
        <v>5000</v>
      </c>
      <c r="T604"/>
      <c r="U604" s="9"/>
      <c r="V604" s="9"/>
      <c r="W604" s="9"/>
      <c r="X604" s="9"/>
    </row>
    <row r="605" spans="1:24">
      <c r="A605" s="13" t="s">
        <v>19</v>
      </c>
      <c r="B605" s="1"/>
      <c r="C605" s="1" t="s">
        <v>32</v>
      </c>
      <c r="D605" s="3">
        <v>5000</v>
      </c>
      <c r="E605"/>
      <c r="F605"/>
      <c r="G605"/>
      <c r="H605"/>
      <c r="I605"/>
      <c r="J605"/>
      <c r="K605"/>
      <c r="L605"/>
      <c r="M605" s="18" t="s">
        <v>245</v>
      </c>
      <c r="N605" t="s">
        <v>1325</v>
      </c>
      <c r="O605" t="s">
        <v>1395</v>
      </c>
      <c r="P605" s="1" t="s">
        <v>713</v>
      </c>
      <c r="Q605" s="13" t="s">
        <v>25</v>
      </c>
      <c r="R605">
        <v>1</v>
      </c>
      <c r="S605">
        <v>5000</v>
      </c>
      <c r="T605"/>
      <c r="U605" s="9"/>
      <c r="V605" s="9"/>
      <c r="W605" s="9"/>
      <c r="X605" s="9"/>
    </row>
    <row r="606" spans="1:24">
      <c r="A606" s="13"/>
      <c r="B606" s="1"/>
      <c r="C606" s="1"/>
      <c r="D606" s="3" t="str">
        <f>SUBTOTAL(9,D580:D605)</f>
        <v>0</v>
      </c>
      <c r="E606"/>
      <c r="F606"/>
      <c r="G606"/>
      <c r="H606"/>
      <c r="I606"/>
      <c r="J606"/>
      <c r="K606"/>
      <c r="L606"/>
      <c r="M606" s="18" t="s">
        <v>246</v>
      </c>
      <c r="N606" t="s">
        <v>1469</v>
      </c>
      <c r="O606" t="s">
        <v>1395</v>
      </c>
      <c r="P606" s="1"/>
      <c r="Q606" s="13"/>
      <c r="R606"/>
      <c r="S606"/>
      <c r="T606"/>
      <c r="U606" s="9"/>
      <c r="V606" s="9"/>
      <c r="W606" s="9"/>
      <c r="X606" s="9"/>
    </row>
    <row r="607" spans="1:24">
      <c r="A607" s="13" t="s">
        <v>19</v>
      </c>
      <c r="B607" s="1"/>
      <c r="C607" s="1" t="s">
        <v>20</v>
      </c>
      <c r="D607" s="3">
        <v>32000</v>
      </c>
      <c r="E607"/>
      <c r="F607"/>
      <c r="G607"/>
      <c r="H607"/>
      <c r="I607"/>
      <c r="J607"/>
      <c r="K607"/>
      <c r="L607"/>
      <c r="M607" s="18" t="s">
        <v>247</v>
      </c>
      <c r="N607" t="s">
        <v>1133</v>
      </c>
      <c r="O607" t="s">
        <v>1395</v>
      </c>
      <c r="P607" s="1" t="s">
        <v>24</v>
      </c>
      <c r="Q607" s="13" t="s">
        <v>25</v>
      </c>
      <c r="R607">
        <v>1</v>
      </c>
      <c r="S607">
        <v>32000</v>
      </c>
      <c r="T607"/>
      <c r="U607" s="9"/>
      <c r="V607" s="9"/>
      <c r="W607" s="9"/>
      <c r="X607" s="9"/>
    </row>
    <row r="608" spans="1:24">
      <c r="A608" s="13" t="s">
        <v>19</v>
      </c>
      <c r="B608" s="1"/>
      <c r="C608" s="1" t="s">
        <v>20</v>
      </c>
      <c r="D608" s="3">
        <v>64000</v>
      </c>
      <c r="E608"/>
      <c r="F608"/>
      <c r="G608"/>
      <c r="H608"/>
      <c r="I608"/>
      <c r="J608"/>
      <c r="K608"/>
      <c r="L608"/>
      <c r="M608" s="18" t="s">
        <v>247</v>
      </c>
      <c r="N608" t="s">
        <v>1133</v>
      </c>
      <c r="O608" t="s">
        <v>1395</v>
      </c>
      <c r="P608" s="1" t="s">
        <v>24</v>
      </c>
      <c r="Q608" s="13" t="s">
        <v>25</v>
      </c>
      <c r="R608">
        <v>2</v>
      </c>
      <c r="S608">
        <v>32000</v>
      </c>
      <c r="T608"/>
      <c r="U608" s="9"/>
      <c r="V608" s="9"/>
      <c r="W608" s="9"/>
      <c r="X608" s="9"/>
    </row>
    <row r="609" spans="1:24">
      <c r="A609" s="13" t="s">
        <v>19</v>
      </c>
      <c r="B609" s="1"/>
      <c r="C609" s="1" t="s">
        <v>20</v>
      </c>
      <c r="D609" s="3">
        <v>64000</v>
      </c>
      <c r="E609"/>
      <c r="F609"/>
      <c r="G609"/>
      <c r="H609"/>
      <c r="I609"/>
      <c r="J609"/>
      <c r="K609"/>
      <c r="L609"/>
      <c r="M609" s="18" t="s">
        <v>247</v>
      </c>
      <c r="N609" t="s">
        <v>1133</v>
      </c>
      <c r="O609" t="s">
        <v>1395</v>
      </c>
      <c r="P609" s="1" t="s">
        <v>582</v>
      </c>
      <c r="Q609" s="13" t="s">
        <v>25</v>
      </c>
      <c r="R609">
        <v>2</v>
      </c>
      <c r="S609">
        <v>32000</v>
      </c>
      <c r="T609"/>
      <c r="U609" s="9"/>
      <c r="V609" s="9"/>
      <c r="W609" s="9"/>
      <c r="X609" s="9"/>
    </row>
    <row r="610" spans="1:24">
      <c r="A610" s="13" t="s">
        <v>19</v>
      </c>
      <c r="B610" s="1"/>
      <c r="C610" s="1" t="s">
        <v>26</v>
      </c>
      <c r="D610" s="3">
        <v>37000</v>
      </c>
      <c r="E610"/>
      <c r="F610"/>
      <c r="G610"/>
      <c r="H610"/>
      <c r="I610"/>
      <c r="J610"/>
      <c r="K610"/>
      <c r="L610"/>
      <c r="M610" s="18" t="s">
        <v>247</v>
      </c>
      <c r="N610" t="s">
        <v>1133</v>
      </c>
      <c r="O610" t="s">
        <v>1395</v>
      </c>
      <c r="P610" s="1" t="s">
        <v>714</v>
      </c>
      <c r="Q610" s="13" t="s">
        <v>25</v>
      </c>
      <c r="R610">
        <v>1</v>
      </c>
      <c r="S610">
        <v>37000</v>
      </c>
      <c r="T610"/>
      <c r="U610" s="9"/>
      <c r="V610" s="9"/>
      <c r="W610" s="9"/>
      <c r="X610" s="9"/>
    </row>
    <row r="611" spans="1:24">
      <c r="A611" s="13" t="s">
        <v>19</v>
      </c>
      <c r="B611" s="1"/>
      <c r="C611" s="1" t="s">
        <v>29</v>
      </c>
      <c r="D611" s="3">
        <v>5000</v>
      </c>
      <c r="E611"/>
      <c r="F611"/>
      <c r="G611"/>
      <c r="H611"/>
      <c r="I611"/>
      <c r="J611"/>
      <c r="K611"/>
      <c r="L611"/>
      <c r="M611" s="18" t="s">
        <v>247</v>
      </c>
      <c r="N611" t="s">
        <v>1133</v>
      </c>
      <c r="O611" t="s">
        <v>1395</v>
      </c>
      <c r="P611" s="1" t="s">
        <v>30</v>
      </c>
      <c r="Q611" s="13" t="s">
        <v>25</v>
      </c>
      <c r="R611">
        <v>1</v>
      </c>
      <c r="S611">
        <v>5000</v>
      </c>
      <c r="T611"/>
      <c r="U611" s="9"/>
      <c r="V611" s="9"/>
      <c r="W611" s="9"/>
      <c r="X611" s="9"/>
    </row>
    <row r="612" spans="1:24">
      <c r="A612" s="13" t="s">
        <v>19</v>
      </c>
      <c r="B612" s="1"/>
      <c r="C612" s="1" t="s">
        <v>29</v>
      </c>
      <c r="D612" s="3">
        <v>10000</v>
      </c>
      <c r="E612"/>
      <c r="F612"/>
      <c r="G612"/>
      <c r="H612"/>
      <c r="I612"/>
      <c r="J612"/>
      <c r="K612"/>
      <c r="L612"/>
      <c r="M612" s="18" t="s">
        <v>247</v>
      </c>
      <c r="N612" t="s">
        <v>1133</v>
      </c>
      <c r="O612" t="s">
        <v>1395</v>
      </c>
      <c r="P612" s="1" t="s">
        <v>30</v>
      </c>
      <c r="Q612" s="13" t="s">
        <v>25</v>
      </c>
      <c r="R612">
        <v>2</v>
      </c>
      <c r="S612">
        <v>5000</v>
      </c>
      <c r="T612"/>
      <c r="U612" s="9"/>
      <c r="V612" s="9"/>
      <c r="W612" s="9"/>
      <c r="X612" s="9"/>
    </row>
    <row r="613" spans="1:24">
      <c r="A613" s="13" t="s">
        <v>19</v>
      </c>
      <c r="B613" s="1"/>
      <c r="C613" s="1" t="s">
        <v>29</v>
      </c>
      <c r="D613" s="3">
        <v>10000</v>
      </c>
      <c r="E613"/>
      <c r="F613"/>
      <c r="G613"/>
      <c r="H613"/>
      <c r="I613"/>
      <c r="J613"/>
      <c r="K613"/>
      <c r="L613"/>
      <c r="M613" s="18" t="s">
        <v>247</v>
      </c>
      <c r="N613" t="s">
        <v>1133</v>
      </c>
      <c r="O613" t="s">
        <v>1395</v>
      </c>
      <c r="P613" s="1" t="s">
        <v>593</v>
      </c>
      <c r="Q613" s="13" t="s">
        <v>25</v>
      </c>
      <c r="R613">
        <v>2</v>
      </c>
      <c r="S613">
        <v>5000</v>
      </c>
      <c r="T613"/>
      <c r="U613" s="9"/>
      <c r="V613" s="9"/>
      <c r="W613" s="9"/>
      <c r="X613" s="9"/>
    </row>
    <row r="614" spans="1:24">
      <c r="A614" s="13" t="s">
        <v>19</v>
      </c>
      <c r="B614" s="1"/>
      <c r="C614" s="1" t="s">
        <v>32</v>
      </c>
      <c r="D614" s="3">
        <v>5000</v>
      </c>
      <c r="E614"/>
      <c r="F614"/>
      <c r="G614"/>
      <c r="H614"/>
      <c r="I614"/>
      <c r="J614"/>
      <c r="K614"/>
      <c r="L614"/>
      <c r="M614" s="18" t="s">
        <v>247</v>
      </c>
      <c r="N614" t="s">
        <v>1133</v>
      </c>
      <c r="O614" t="s">
        <v>1395</v>
      </c>
      <c r="P614" s="1" t="s">
        <v>715</v>
      </c>
      <c r="Q614" s="13" t="s">
        <v>25</v>
      </c>
      <c r="R614">
        <v>1</v>
      </c>
      <c r="S614">
        <v>5000</v>
      </c>
      <c r="T614"/>
      <c r="U614" s="9"/>
      <c r="V614" s="9"/>
      <c r="W614" s="9"/>
      <c r="X614" s="9"/>
    </row>
    <row r="615" spans="1:24">
      <c r="A615" s="13"/>
      <c r="B615" s="1"/>
      <c r="C615" s="1"/>
      <c r="D615" s="3" t="str">
        <f>SUBTOTAL(9,D607:D614)</f>
        <v>0</v>
      </c>
      <c r="E615"/>
      <c r="F615"/>
      <c r="G615"/>
      <c r="H615"/>
      <c r="I615"/>
      <c r="J615"/>
      <c r="K615"/>
      <c r="L615"/>
      <c r="M615" s="18" t="s">
        <v>248</v>
      </c>
      <c r="N615" t="s">
        <v>1470</v>
      </c>
      <c r="O615" t="s">
        <v>1395</v>
      </c>
      <c r="P615" s="1"/>
      <c r="Q615" s="13"/>
      <c r="R615"/>
      <c r="S615"/>
      <c r="T615"/>
      <c r="U615" s="9"/>
      <c r="V615" s="9"/>
      <c r="W615" s="9"/>
      <c r="X615" s="9"/>
    </row>
    <row r="616" spans="1:24">
      <c r="A616" s="13" t="s">
        <v>19</v>
      </c>
      <c r="B616" s="1"/>
      <c r="C616" s="1" t="s">
        <v>20</v>
      </c>
      <c r="D616" s="3">
        <v>64000</v>
      </c>
      <c r="E616"/>
      <c r="F616"/>
      <c r="G616"/>
      <c r="H616"/>
      <c r="I616"/>
      <c r="J616"/>
      <c r="K616"/>
      <c r="L616"/>
      <c r="M616" s="18" t="s">
        <v>249</v>
      </c>
      <c r="N616" t="s">
        <v>1263</v>
      </c>
      <c r="O616" t="s">
        <v>1395</v>
      </c>
      <c r="P616" s="1" t="s">
        <v>538</v>
      </c>
      <c r="Q616" s="13" t="s">
        <v>25</v>
      </c>
      <c r="R616">
        <v>2</v>
      </c>
      <c r="S616">
        <v>32000</v>
      </c>
      <c r="T616"/>
      <c r="U616" s="9"/>
      <c r="V616" s="9"/>
      <c r="W616" s="9"/>
      <c r="X616" s="9"/>
    </row>
    <row r="617" spans="1:24">
      <c r="A617" s="13" t="s">
        <v>19</v>
      </c>
      <c r="B617" s="1"/>
      <c r="C617" s="1" t="s">
        <v>29</v>
      </c>
      <c r="D617" s="3">
        <v>10000</v>
      </c>
      <c r="E617"/>
      <c r="F617"/>
      <c r="G617"/>
      <c r="H617"/>
      <c r="I617"/>
      <c r="J617"/>
      <c r="K617"/>
      <c r="L617"/>
      <c r="M617" s="18" t="s">
        <v>249</v>
      </c>
      <c r="N617" t="s">
        <v>1263</v>
      </c>
      <c r="O617" t="s">
        <v>1395</v>
      </c>
      <c r="P617" s="1" t="s">
        <v>539</v>
      </c>
      <c r="Q617" s="13" t="s">
        <v>25</v>
      </c>
      <c r="R617">
        <v>2</v>
      </c>
      <c r="S617">
        <v>5000</v>
      </c>
      <c r="T617"/>
      <c r="U617" s="9"/>
      <c r="V617" s="9"/>
      <c r="W617" s="9"/>
      <c r="X617" s="9"/>
    </row>
    <row r="618" spans="1:24">
      <c r="A618" s="13"/>
      <c r="B618" s="1"/>
      <c r="C618" s="1"/>
      <c r="D618" s="3" t="str">
        <f>SUBTOTAL(9,D616:D617)</f>
        <v>0</v>
      </c>
      <c r="E618"/>
      <c r="F618"/>
      <c r="G618"/>
      <c r="H618"/>
      <c r="I618"/>
      <c r="J618"/>
      <c r="K618"/>
      <c r="L618"/>
      <c r="M618" s="18" t="s">
        <v>250</v>
      </c>
      <c r="N618" t="s">
        <v>1471</v>
      </c>
      <c r="O618" t="s">
        <v>1395</v>
      </c>
      <c r="P618" s="1"/>
      <c r="Q618" s="13"/>
      <c r="R618"/>
      <c r="S618"/>
      <c r="T618"/>
      <c r="U618" s="9"/>
      <c r="V618" s="9"/>
      <c r="W618" s="9"/>
      <c r="X618" s="9"/>
    </row>
    <row r="619" spans="1:24">
      <c r="A619" s="13" t="s">
        <v>19</v>
      </c>
      <c r="B619" s="1"/>
      <c r="C619" s="1" t="s">
        <v>20</v>
      </c>
      <c r="D619" s="3">
        <v>32000</v>
      </c>
      <c r="E619"/>
      <c r="F619"/>
      <c r="G619"/>
      <c r="H619"/>
      <c r="I619"/>
      <c r="J619"/>
      <c r="K619"/>
      <c r="L619"/>
      <c r="M619" s="18" t="s">
        <v>251</v>
      </c>
      <c r="N619" t="s">
        <v>1193</v>
      </c>
      <c r="O619" t="s">
        <v>1395</v>
      </c>
      <c r="P619" s="1" t="s">
        <v>24</v>
      </c>
      <c r="Q619" s="13" t="s">
        <v>25</v>
      </c>
      <c r="R619">
        <v>1</v>
      </c>
      <c r="S619">
        <v>32000</v>
      </c>
      <c r="T619"/>
      <c r="U619" s="9"/>
      <c r="V619" s="9"/>
      <c r="W619" s="9"/>
      <c r="X619" s="9"/>
    </row>
    <row r="620" spans="1:24">
      <c r="A620" s="13" t="s">
        <v>19</v>
      </c>
      <c r="B620" s="1"/>
      <c r="C620" s="1" t="s">
        <v>20</v>
      </c>
      <c r="D620" s="3">
        <v>30000</v>
      </c>
      <c r="E620"/>
      <c r="F620"/>
      <c r="G620"/>
      <c r="H620"/>
      <c r="I620"/>
      <c r="J620"/>
      <c r="K620"/>
      <c r="L620"/>
      <c r="M620" s="18" t="s">
        <v>251</v>
      </c>
      <c r="N620" t="s">
        <v>1193</v>
      </c>
      <c r="O620" t="s">
        <v>1395</v>
      </c>
      <c r="P620" s="1" t="s">
        <v>24</v>
      </c>
      <c r="Q620" s="13" t="s">
        <v>25</v>
      </c>
      <c r="R620">
        <v>1</v>
      </c>
      <c r="S620">
        <v>30000</v>
      </c>
      <c r="T620"/>
      <c r="U620" s="9"/>
      <c r="V620" s="9"/>
      <c r="W620" s="9"/>
      <c r="X620" s="9"/>
    </row>
    <row r="621" spans="1:24">
      <c r="A621" s="13" t="s">
        <v>19</v>
      </c>
      <c r="B621" s="1"/>
      <c r="C621" s="1" t="s">
        <v>20</v>
      </c>
      <c r="D621" s="3">
        <v>64000</v>
      </c>
      <c r="E621"/>
      <c r="F621"/>
      <c r="G621"/>
      <c r="H621"/>
      <c r="I621"/>
      <c r="J621"/>
      <c r="K621"/>
      <c r="L621"/>
      <c r="M621" s="18" t="s">
        <v>251</v>
      </c>
      <c r="N621" t="s">
        <v>1193</v>
      </c>
      <c r="O621" t="s">
        <v>1395</v>
      </c>
      <c r="P621" s="1" t="s">
        <v>24</v>
      </c>
      <c r="Q621" s="13" t="s">
        <v>25</v>
      </c>
      <c r="R621">
        <v>2</v>
      </c>
      <c r="S621">
        <v>32000</v>
      </c>
      <c r="T621"/>
      <c r="U621" s="9"/>
      <c r="V621" s="9"/>
      <c r="W621" s="9"/>
      <c r="X621" s="9"/>
    </row>
    <row r="622" spans="1:24">
      <c r="A622" s="13" t="s">
        <v>19</v>
      </c>
      <c r="B622" s="1"/>
      <c r="C622" s="1" t="s">
        <v>29</v>
      </c>
      <c r="D622" s="3">
        <v>5000</v>
      </c>
      <c r="E622"/>
      <c r="F622"/>
      <c r="G622"/>
      <c r="H622"/>
      <c r="I622"/>
      <c r="J622"/>
      <c r="K622"/>
      <c r="L622"/>
      <c r="M622" s="18" t="s">
        <v>251</v>
      </c>
      <c r="N622" t="s">
        <v>1193</v>
      </c>
      <c r="O622" t="s">
        <v>1395</v>
      </c>
      <c r="P622" s="1" t="s">
        <v>30</v>
      </c>
      <c r="Q622" s="13" t="s">
        <v>25</v>
      </c>
      <c r="R622">
        <v>1</v>
      </c>
      <c r="S622">
        <v>5000</v>
      </c>
      <c r="T622"/>
      <c r="U622" s="9"/>
      <c r="V622" s="9"/>
      <c r="W622" s="9"/>
      <c r="X622" s="9"/>
    </row>
    <row r="623" spans="1:24">
      <c r="A623" s="13" t="s">
        <v>19</v>
      </c>
      <c r="B623" s="1"/>
      <c r="C623" s="1" t="s">
        <v>29</v>
      </c>
      <c r="D623" s="3">
        <v>7000</v>
      </c>
      <c r="E623"/>
      <c r="F623"/>
      <c r="G623"/>
      <c r="H623"/>
      <c r="I623"/>
      <c r="J623"/>
      <c r="K623"/>
      <c r="L623"/>
      <c r="M623" s="18" t="s">
        <v>251</v>
      </c>
      <c r="N623" t="s">
        <v>1193</v>
      </c>
      <c r="O623" t="s">
        <v>1395</v>
      </c>
      <c r="P623" s="1" t="s">
        <v>30</v>
      </c>
      <c r="Q623" s="13" t="s">
        <v>25</v>
      </c>
      <c r="R623">
        <v>1</v>
      </c>
      <c r="S623">
        <v>7000</v>
      </c>
      <c r="T623"/>
      <c r="U623" s="9"/>
      <c r="V623" s="9"/>
      <c r="W623" s="9"/>
      <c r="X623" s="9"/>
    </row>
    <row r="624" spans="1:24">
      <c r="A624" s="13" t="s">
        <v>19</v>
      </c>
      <c r="B624" s="1"/>
      <c r="C624" s="1" t="s">
        <v>29</v>
      </c>
      <c r="D624" s="3">
        <v>10000</v>
      </c>
      <c r="E624"/>
      <c r="F624"/>
      <c r="G624"/>
      <c r="H624"/>
      <c r="I624"/>
      <c r="J624"/>
      <c r="K624"/>
      <c r="L624"/>
      <c r="M624" s="18" t="s">
        <v>251</v>
      </c>
      <c r="N624" t="s">
        <v>1193</v>
      </c>
      <c r="O624" t="s">
        <v>1395</v>
      </c>
      <c r="P624" s="1" t="s">
        <v>30</v>
      </c>
      <c r="Q624" s="13" t="s">
        <v>25</v>
      </c>
      <c r="R624">
        <v>2</v>
      </c>
      <c r="S624">
        <v>5000</v>
      </c>
      <c r="T624"/>
      <c r="U624" s="9"/>
      <c r="V624" s="9"/>
      <c r="W624" s="9"/>
      <c r="X624" s="9"/>
    </row>
    <row r="625" spans="1:24">
      <c r="A625" s="13"/>
      <c r="B625" s="1"/>
      <c r="C625" s="1"/>
      <c r="D625" s="3" t="str">
        <f>SUBTOTAL(9,D619:D624)</f>
        <v>0</v>
      </c>
      <c r="E625"/>
      <c r="F625"/>
      <c r="G625"/>
      <c r="H625"/>
      <c r="I625"/>
      <c r="J625"/>
      <c r="K625"/>
      <c r="L625"/>
      <c r="M625" s="18" t="s">
        <v>252</v>
      </c>
      <c r="N625" t="s">
        <v>1472</v>
      </c>
      <c r="O625" t="s">
        <v>1395</v>
      </c>
      <c r="P625" s="1"/>
      <c r="Q625" s="13"/>
      <c r="R625"/>
      <c r="S625"/>
      <c r="T625"/>
      <c r="U625" s="9"/>
      <c r="V625" s="9"/>
      <c r="W625" s="9"/>
      <c r="X625" s="9"/>
    </row>
    <row r="626" spans="1:24">
      <c r="A626" s="13" t="s">
        <v>19</v>
      </c>
      <c r="B626" s="1"/>
      <c r="C626" s="1" t="s">
        <v>20</v>
      </c>
      <c r="D626" s="3">
        <v>64000</v>
      </c>
      <c r="E626"/>
      <c r="F626"/>
      <c r="G626"/>
      <c r="H626"/>
      <c r="I626"/>
      <c r="J626"/>
      <c r="K626"/>
      <c r="L626"/>
      <c r="M626" s="18" t="s">
        <v>253</v>
      </c>
      <c r="N626" t="s">
        <v>1297</v>
      </c>
      <c r="O626" t="s">
        <v>98</v>
      </c>
      <c r="P626" s="1" t="s">
        <v>24</v>
      </c>
      <c r="Q626" s="13" t="s">
        <v>25</v>
      </c>
      <c r="R626">
        <v>2</v>
      </c>
      <c r="S626">
        <v>32000</v>
      </c>
      <c r="T626"/>
      <c r="U626" s="9"/>
      <c r="V626" s="9"/>
      <c r="W626" s="9"/>
      <c r="X626" s="9"/>
    </row>
    <row r="627" spans="1:24">
      <c r="A627" s="13" t="s">
        <v>19</v>
      </c>
      <c r="B627" s="1"/>
      <c r="C627" s="1" t="s">
        <v>20</v>
      </c>
      <c r="D627" s="3">
        <v>64000</v>
      </c>
      <c r="E627"/>
      <c r="F627"/>
      <c r="G627"/>
      <c r="H627"/>
      <c r="I627"/>
      <c r="J627"/>
      <c r="K627"/>
      <c r="L627"/>
      <c r="M627" s="18" t="s">
        <v>253</v>
      </c>
      <c r="N627" t="s">
        <v>1297</v>
      </c>
      <c r="O627" t="s">
        <v>98</v>
      </c>
      <c r="P627" s="1" t="s">
        <v>24</v>
      </c>
      <c r="Q627" s="13" t="s">
        <v>25</v>
      </c>
      <c r="R627">
        <v>2</v>
      </c>
      <c r="S627">
        <v>32000</v>
      </c>
      <c r="T627"/>
      <c r="U627" s="9"/>
      <c r="V627" s="9"/>
      <c r="W627" s="9"/>
      <c r="X627" s="9"/>
    </row>
    <row r="628" spans="1:24">
      <c r="A628" s="13" t="s">
        <v>19</v>
      </c>
      <c r="B628" s="1"/>
      <c r="C628" s="1" t="s">
        <v>29</v>
      </c>
      <c r="D628" s="3">
        <v>10000</v>
      </c>
      <c r="E628"/>
      <c r="F628"/>
      <c r="G628"/>
      <c r="H628"/>
      <c r="I628"/>
      <c r="J628"/>
      <c r="K628"/>
      <c r="L628"/>
      <c r="M628" s="18" t="s">
        <v>253</v>
      </c>
      <c r="N628" t="s">
        <v>1297</v>
      </c>
      <c r="O628" t="s">
        <v>98</v>
      </c>
      <c r="P628" s="1" t="s">
        <v>30</v>
      </c>
      <c r="Q628" s="13" t="s">
        <v>25</v>
      </c>
      <c r="R628">
        <v>2</v>
      </c>
      <c r="S628">
        <v>5000</v>
      </c>
      <c r="T628"/>
      <c r="U628" s="9"/>
      <c r="V628" s="9"/>
      <c r="W628" s="9"/>
      <c r="X628" s="9"/>
    </row>
    <row r="629" spans="1:24">
      <c r="A629" s="13" t="s">
        <v>19</v>
      </c>
      <c r="B629" s="1"/>
      <c r="C629" s="1" t="s">
        <v>29</v>
      </c>
      <c r="D629" s="3">
        <v>10000</v>
      </c>
      <c r="E629"/>
      <c r="F629"/>
      <c r="G629"/>
      <c r="H629"/>
      <c r="I629"/>
      <c r="J629"/>
      <c r="K629"/>
      <c r="L629"/>
      <c r="M629" s="18" t="s">
        <v>253</v>
      </c>
      <c r="N629" t="s">
        <v>1297</v>
      </c>
      <c r="O629" t="s">
        <v>98</v>
      </c>
      <c r="P629" s="1" t="s">
        <v>30</v>
      </c>
      <c r="Q629" s="13" t="s">
        <v>25</v>
      </c>
      <c r="R629">
        <v>2</v>
      </c>
      <c r="S629">
        <v>5000</v>
      </c>
      <c r="T629"/>
      <c r="U629" s="9"/>
      <c r="V629" s="9"/>
      <c r="W629" s="9"/>
      <c r="X629" s="9"/>
    </row>
    <row r="630" spans="1:24">
      <c r="A630" s="13"/>
      <c r="B630" s="1"/>
      <c r="C630" s="1"/>
      <c r="D630" s="3" t="str">
        <f>SUBTOTAL(9,D626:D629)</f>
        <v>0</v>
      </c>
      <c r="E630"/>
      <c r="F630"/>
      <c r="G630"/>
      <c r="H630"/>
      <c r="I630"/>
      <c r="J630"/>
      <c r="K630"/>
      <c r="L630"/>
      <c r="M630" s="18" t="s">
        <v>254</v>
      </c>
      <c r="N630" t="s">
        <v>1473</v>
      </c>
      <c r="O630" t="s">
        <v>98</v>
      </c>
      <c r="P630" s="1"/>
      <c r="Q630" s="13"/>
      <c r="R630"/>
      <c r="S630"/>
      <c r="T630"/>
      <c r="U630" s="9"/>
      <c r="V630" s="9"/>
      <c r="W630" s="9"/>
      <c r="X630" s="9"/>
    </row>
    <row r="631" spans="1:24">
      <c r="A631" s="13" t="s">
        <v>19</v>
      </c>
      <c r="B631" s="1"/>
      <c r="C631" s="1" t="s">
        <v>20</v>
      </c>
      <c r="D631" s="3">
        <v>64000</v>
      </c>
      <c r="E631"/>
      <c r="F631"/>
      <c r="G631"/>
      <c r="H631"/>
      <c r="I631"/>
      <c r="J631"/>
      <c r="K631"/>
      <c r="L631"/>
      <c r="M631" s="18" t="s">
        <v>255</v>
      </c>
      <c r="N631" t="s">
        <v>1241</v>
      </c>
      <c r="O631"/>
      <c r="P631" s="1" t="s">
        <v>24</v>
      </c>
      <c r="Q631" s="13" t="s">
        <v>25</v>
      </c>
      <c r="R631">
        <v>2</v>
      </c>
      <c r="S631">
        <v>32000</v>
      </c>
      <c r="T631"/>
      <c r="U631" s="9"/>
      <c r="V631" s="9"/>
      <c r="W631" s="9"/>
      <c r="X631" s="9"/>
    </row>
    <row r="632" spans="1:24">
      <c r="A632" s="13" t="s">
        <v>19</v>
      </c>
      <c r="B632" s="1"/>
      <c r="C632" s="1" t="s">
        <v>20</v>
      </c>
      <c r="D632" s="3">
        <v>64000</v>
      </c>
      <c r="E632"/>
      <c r="F632"/>
      <c r="G632"/>
      <c r="H632"/>
      <c r="I632"/>
      <c r="J632"/>
      <c r="K632"/>
      <c r="L632"/>
      <c r="M632" s="18" t="s">
        <v>255</v>
      </c>
      <c r="N632" t="s">
        <v>1241</v>
      </c>
      <c r="O632"/>
      <c r="P632" s="1" t="s">
        <v>24</v>
      </c>
      <c r="Q632" s="13" t="s">
        <v>25</v>
      </c>
      <c r="R632">
        <v>2</v>
      </c>
      <c r="S632">
        <v>32000</v>
      </c>
      <c r="T632"/>
      <c r="U632" s="9"/>
      <c r="V632" s="9"/>
      <c r="W632" s="9"/>
      <c r="X632" s="9"/>
    </row>
    <row r="633" spans="1:24">
      <c r="A633" s="13" t="s">
        <v>19</v>
      </c>
      <c r="B633" s="1"/>
      <c r="C633" s="1" t="s">
        <v>20</v>
      </c>
      <c r="D633" s="3">
        <v>64000</v>
      </c>
      <c r="E633"/>
      <c r="F633"/>
      <c r="G633"/>
      <c r="H633"/>
      <c r="I633"/>
      <c r="J633"/>
      <c r="K633"/>
      <c r="L633"/>
      <c r="M633" s="18" t="s">
        <v>255</v>
      </c>
      <c r="N633" t="s">
        <v>1241</v>
      </c>
      <c r="O633"/>
      <c r="P633" s="1" t="s">
        <v>24</v>
      </c>
      <c r="Q633" s="13" t="s">
        <v>25</v>
      </c>
      <c r="R633">
        <v>2</v>
      </c>
      <c r="S633">
        <v>32000</v>
      </c>
      <c r="T633"/>
      <c r="U633" s="9"/>
      <c r="V633" s="9"/>
      <c r="W633" s="9"/>
      <c r="X633" s="9"/>
    </row>
    <row r="634" spans="1:24">
      <c r="A634" s="13" t="s">
        <v>19</v>
      </c>
      <c r="B634" s="1"/>
      <c r="C634" s="1" t="s">
        <v>20</v>
      </c>
      <c r="D634" s="3">
        <v>64000</v>
      </c>
      <c r="E634"/>
      <c r="F634"/>
      <c r="G634"/>
      <c r="H634"/>
      <c r="I634"/>
      <c r="J634"/>
      <c r="K634"/>
      <c r="L634"/>
      <c r="M634" s="18" t="s">
        <v>255</v>
      </c>
      <c r="N634" t="s">
        <v>1241</v>
      </c>
      <c r="O634"/>
      <c r="P634" s="1" t="s">
        <v>24</v>
      </c>
      <c r="Q634" s="13" t="s">
        <v>25</v>
      </c>
      <c r="R634">
        <v>2</v>
      </c>
      <c r="S634">
        <v>32000</v>
      </c>
      <c r="T634"/>
      <c r="U634" s="9"/>
      <c r="V634" s="9"/>
      <c r="W634" s="9"/>
      <c r="X634" s="9"/>
    </row>
    <row r="635" spans="1:24">
      <c r="A635" s="13" t="s">
        <v>19</v>
      </c>
      <c r="B635" s="1"/>
      <c r="C635" s="1" t="s">
        <v>20</v>
      </c>
      <c r="D635" s="3">
        <v>32000</v>
      </c>
      <c r="E635"/>
      <c r="F635"/>
      <c r="G635"/>
      <c r="H635"/>
      <c r="I635"/>
      <c r="J635"/>
      <c r="K635"/>
      <c r="L635"/>
      <c r="M635" s="18" t="s">
        <v>255</v>
      </c>
      <c r="N635" t="s">
        <v>1241</v>
      </c>
      <c r="O635"/>
      <c r="P635" s="1" t="s">
        <v>24</v>
      </c>
      <c r="Q635" s="13" t="s">
        <v>25</v>
      </c>
      <c r="R635">
        <v>1</v>
      </c>
      <c r="S635">
        <v>32000</v>
      </c>
      <c r="T635"/>
      <c r="U635" s="9"/>
      <c r="V635" s="9"/>
      <c r="W635" s="9"/>
      <c r="X635" s="9"/>
    </row>
    <row r="636" spans="1:24">
      <c r="A636" s="13" t="s">
        <v>19</v>
      </c>
      <c r="B636" s="1"/>
      <c r="C636" s="1" t="s">
        <v>20</v>
      </c>
      <c r="D636" s="3">
        <v>128000</v>
      </c>
      <c r="E636"/>
      <c r="F636"/>
      <c r="G636"/>
      <c r="H636"/>
      <c r="I636"/>
      <c r="J636"/>
      <c r="K636"/>
      <c r="L636"/>
      <c r="M636" s="18" t="s">
        <v>255</v>
      </c>
      <c r="N636" t="s">
        <v>1241</v>
      </c>
      <c r="O636"/>
      <c r="P636" s="1" t="s">
        <v>24</v>
      </c>
      <c r="Q636" s="13" t="s">
        <v>25</v>
      </c>
      <c r="R636">
        <v>4</v>
      </c>
      <c r="S636">
        <v>32000</v>
      </c>
      <c r="T636"/>
      <c r="U636" s="9"/>
      <c r="V636" s="9"/>
      <c r="W636" s="9"/>
      <c r="X636" s="9"/>
    </row>
    <row r="637" spans="1:24">
      <c r="A637" s="13" t="s">
        <v>19</v>
      </c>
      <c r="B637" s="1"/>
      <c r="C637" s="1" t="s">
        <v>26</v>
      </c>
      <c r="D637" s="3">
        <v>25000</v>
      </c>
      <c r="E637"/>
      <c r="F637"/>
      <c r="G637"/>
      <c r="H637"/>
      <c r="I637"/>
      <c r="J637"/>
      <c r="K637"/>
      <c r="L637"/>
      <c r="M637" s="18" t="s">
        <v>255</v>
      </c>
      <c r="N637" t="s">
        <v>1241</v>
      </c>
      <c r="O637"/>
      <c r="P637" s="1" t="s">
        <v>716</v>
      </c>
      <c r="Q637" s="13" t="s">
        <v>25</v>
      </c>
      <c r="R637">
        <v>1</v>
      </c>
      <c r="S637">
        <v>25000</v>
      </c>
      <c r="T637"/>
      <c r="U637" s="9"/>
      <c r="V637" s="9"/>
      <c r="W637" s="9"/>
      <c r="X637" s="9"/>
    </row>
    <row r="638" spans="1:24">
      <c r="A638" s="13" t="s">
        <v>19</v>
      </c>
      <c r="B638" s="1"/>
      <c r="C638" s="1" t="s">
        <v>26</v>
      </c>
      <c r="D638" s="3">
        <v>25000</v>
      </c>
      <c r="E638"/>
      <c r="F638"/>
      <c r="G638"/>
      <c r="H638"/>
      <c r="I638"/>
      <c r="J638"/>
      <c r="K638"/>
      <c r="L638"/>
      <c r="M638" s="18" t="s">
        <v>255</v>
      </c>
      <c r="N638" t="s">
        <v>1241</v>
      </c>
      <c r="O638"/>
      <c r="P638" s="1" t="s">
        <v>717</v>
      </c>
      <c r="Q638" s="13" t="s">
        <v>25</v>
      </c>
      <c r="R638">
        <v>1</v>
      </c>
      <c r="S638">
        <v>25000</v>
      </c>
      <c r="T638"/>
      <c r="U638" s="9"/>
      <c r="V638" s="9"/>
      <c r="W638" s="9"/>
      <c r="X638" s="9"/>
    </row>
    <row r="639" spans="1:24">
      <c r="A639" s="13" t="s">
        <v>19</v>
      </c>
      <c r="B639" s="1"/>
      <c r="C639" s="1" t="s">
        <v>26</v>
      </c>
      <c r="D639" s="3">
        <v>25000</v>
      </c>
      <c r="E639"/>
      <c r="F639"/>
      <c r="G639"/>
      <c r="H639"/>
      <c r="I639"/>
      <c r="J639"/>
      <c r="K639"/>
      <c r="L639"/>
      <c r="M639" s="18" t="s">
        <v>255</v>
      </c>
      <c r="N639" t="s">
        <v>1241</v>
      </c>
      <c r="O639"/>
      <c r="P639" s="1" t="s">
        <v>718</v>
      </c>
      <c r="Q639" s="13" t="s">
        <v>25</v>
      </c>
      <c r="R639">
        <v>1</v>
      </c>
      <c r="S639">
        <v>25000</v>
      </c>
      <c r="T639"/>
      <c r="U639" s="9"/>
      <c r="V639" s="9"/>
      <c r="W639" s="9"/>
      <c r="X639" s="9"/>
    </row>
    <row r="640" spans="1:24">
      <c r="A640" s="13" t="s">
        <v>19</v>
      </c>
      <c r="B640" s="1"/>
      <c r="C640" s="1" t="s">
        <v>29</v>
      </c>
      <c r="D640" s="3">
        <v>10000</v>
      </c>
      <c r="E640"/>
      <c r="F640"/>
      <c r="G640"/>
      <c r="H640"/>
      <c r="I640"/>
      <c r="J640"/>
      <c r="K640"/>
      <c r="L640"/>
      <c r="M640" s="18" t="s">
        <v>255</v>
      </c>
      <c r="N640" t="s">
        <v>1241</v>
      </c>
      <c r="O640"/>
      <c r="P640" s="1" t="s">
        <v>30</v>
      </c>
      <c r="Q640" s="13" t="s">
        <v>25</v>
      </c>
      <c r="R640">
        <v>2</v>
      </c>
      <c r="S640">
        <v>5000</v>
      </c>
      <c r="T640"/>
      <c r="U640" s="9"/>
      <c r="V640" s="9"/>
      <c r="W640" s="9"/>
      <c r="X640" s="9"/>
    </row>
    <row r="641" spans="1:24">
      <c r="A641" s="13" t="s">
        <v>19</v>
      </c>
      <c r="B641" s="1"/>
      <c r="C641" s="1" t="s">
        <v>29</v>
      </c>
      <c r="D641" s="3">
        <v>10000</v>
      </c>
      <c r="E641"/>
      <c r="F641"/>
      <c r="G641"/>
      <c r="H641"/>
      <c r="I641"/>
      <c r="J641"/>
      <c r="K641"/>
      <c r="L641"/>
      <c r="M641" s="18" t="s">
        <v>255</v>
      </c>
      <c r="N641" t="s">
        <v>1241</v>
      </c>
      <c r="O641"/>
      <c r="P641" s="1" t="s">
        <v>30</v>
      </c>
      <c r="Q641" s="13" t="s">
        <v>25</v>
      </c>
      <c r="R641">
        <v>2</v>
      </c>
      <c r="S641">
        <v>5000</v>
      </c>
      <c r="T641"/>
      <c r="U641" s="9"/>
      <c r="V641" s="9"/>
      <c r="W641" s="9"/>
      <c r="X641" s="9"/>
    </row>
    <row r="642" spans="1:24">
      <c r="A642" s="13" t="s">
        <v>19</v>
      </c>
      <c r="B642" s="1"/>
      <c r="C642" s="1" t="s">
        <v>29</v>
      </c>
      <c r="D642" s="3">
        <v>10000</v>
      </c>
      <c r="E642"/>
      <c r="F642"/>
      <c r="G642"/>
      <c r="H642"/>
      <c r="I642"/>
      <c r="J642"/>
      <c r="K642"/>
      <c r="L642"/>
      <c r="M642" s="18" t="s">
        <v>255</v>
      </c>
      <c r="N642" t="s">
        <v>1241</v>
      </c>
      <c r="O642"/>
      <c r="P642" s="1" t="s">
        <v>30</v>
      </c>
      <c r="Q642" s="13" t="s">
        <v>25</v>
      </c>
      <c r="R642">
        <v>2</v>
      </c>
      <c r="S642">
        <v>5000</v>
      </c>
      <c r="T642"/>
      <c r="U642" s="9"/>
      <c r="V642" s="9"/>
      <c r="W642" s="9"/>
      <c r="X642" s="9"/>
    </row>
    <row r="643" spans="1:24">
      <c r="A643" s="13" t="s">
        <v>19</v>
      </c>
      <c r="B643" s="1"/>
      <c r="C643" s="1" t="s">
        <v>29</v>
      </c>
      <c r="D643" s="3">
        <v>10000</v>
      </c>
      <c r="E643"/>
      <c r="F643"/>
      <c r="G643"/>
      <c r="H643"/>
      <c r="I643"/>
      <c r="J643"/>
      <c r="K643"/>
      <c r="L643"/>
      <c r="M643" s="18" t="s">
        <v>255</v>
      </c>
      <c r="N643" t="s">
        <v>1241</v>
      </c>
      <c r="O643"/>
      <c r="P643" s="1" t="s">
        <v>30</v>
      </c>
      <c r="Q643" s="13" t="s">
        <v>25</v>
      </c>
      <c r="R643">
        <v>2</v>
      </c>
      <c r="S643">
        <v>5000</v>
      </c>
      <c r="T643"/>
      <c r="U643" s="9"/>
      <c r="V643" s="9"/>
      <c r="W643" s="9"/>
      <c r="X643" s="9"/>
    </row>
    <row r="644" spans="1:24">
      <c r="A644" s="13" t="s">
        <v>19</v>
      </c>
      <c r="B644" s="1"/>
      <c r="C644" s="1" t="s">
        <v>29</v>
      </c>
      <c r="D644" s="3">
        <v>5000</v>
      </c>
      <c r="E644"/>
      <c r="F644"/>
      <c r="G644"/>
      <c r="H644"/>
      <c r="I644"/>
      <c r="J644"/>
      <c r="K644"/>
      <c r="L644"/>
      <c r="M644" s="18" t="s">
        <v>255</v>
      </c>
      <c r="N644" t="s">
        <v>1241</v>
      </c>
      <c r="O644"/>
      <c r="P644" s="1" t="s">
        <v>30</v>
      </c>
      <c r="Q644" s="13" t="s">
        <v>25</v>
      </c>
      <c r="R644">
        <v>1</v>
      </c>
      <c r="S644">
        <v>5000</v>
      </c>
      <c r="T644"/>
      <c r="U644" s="9"/>
      <c r="V644" s="9"/>
      <c r="W644" s="9"/>
      <c r="X644" s="9"/>
    </row>
    <row r="645" spans="1:24">
      <c r="A645" s="13" t="s">
        <v>19</v>
      </c>
      <c r="B645" s="1"/>
      <c r="C645" s="1" t="s">
        <v>29</v>
      </c>
      <c r="D645" s="3">
        <v>20000</v>
      </c>
      <c r="E645"/>
      <c r="F645"/>
      <c r="G645"/>
      <c r="H645"/>
      <c r="I645"/>
      <c r="J645"/>
      <c r="K645"/>
      <c r="L645"/>
      <c r="M645" s="18" t="s">
        <v>255</v>
      </c>
      <c r="N645" t="s">
        <v>1241</v>
      </c>
      <c r="O645"/>
      <c r="P645" s="1" t="s">
        <v>30</v>
      </c>
      <c r="Q645" s="13" t="s">
        <v>25</v>
      </c>
      <c r="R645">
        <v>4</v>
      </c>
      <c r="S645">
        <v>5000</v>
      </c>
      <c r="T645"/>
      <c r="U645" s="9"/>
      <c r="V645" s="9"/>
      <c r="W645" s="9"/>
      <c r="X645" s="9"/>
    </row>
    <row r="646" spans="1:24">
      <c r="A646" s="13" t="s">
        <v>19</v>
      </c>
      <c r="B646" s="1"/>
      <c r="C646" s="1" t="s">
        <v>32</v>
      </c>
      <c r="D646" s="3">
        <v>5000</v>
      </c>
      <c r="E646"/>
      <c r="F646"/>
      <c r="G646"/>
      <c r="H646"/>
      <c r="I646"/>
      <c r="J646"/>
      <c r="K646"/>
      <c r="L646"/>
      <c r="M646" s="18" t="s">
        <v>255</v>
      </c>
      <c r="N646" t="s">
        <v>1241</v>
      </c>
      <c r="O646"/>
      <c r="P646" s="1" t="s">
        <v>719</v>
      </c>
      <c r="Q646" s="13" t="s">
        <v>25</v>
      </c>
      <c r="R646">
        <v>1</v>
      </c>
      <c r="S646">
        <v>5000</v>
      </c>
      <c r="T646"/>
      <c r="U646" s="9"/>
      <c r="V646" s="9"/>
      <c r="W646" s="9"/>
      <c r="X646" s="9"/>
    </row>
    <row r="647" spans="1:24">
      <c r="A647" s="13" t="s">
        <v>19</v>
      </c>
      <c r="B647" s="1"/>
      <c r="C647" s="1" t="s">
        <v>32</v>
      </c>
      <c r="D647" s="3">
        <v>5000</v>
      </c>
      <c r="E647"/>
      <c r="F647"/>
      <c r="G647"/>
      <c r="H647"/>
      <c r="I647"/>
      <c r="J647"/>
      <c r="K647"/>
      <c r="L647"/>
      <c r="M647" s="18" t="s">
        <v>255</v>
      </c>
      <c r="N647" t="s">
        <v>1241</v>
      </c>
      <c r="O647"/>
      <c r="P647" s="1" t="s">
        <v>720</v>
      </c>
      <c r="Q647" s="13" t="s">
        <v>25</v>
      </c>
      <c r="R647">
        <v>1</v>
      </c>
      <c r="S647">
        <v>5000</v>
      </c>
      <c r="T647"/>
      <c r="U647" s="9"/>
      <c r="V647" s="9"/>
      <c r="W647" s="9"/>
      <c r="X647" s="9"/>
    </row>
    <row r="648" spans="1:24">
      <c r="A648" s="13" t="s">
        <v>19</v>
      </c>
      <c r="B648" s="1"/>
      <c r="C648" s="1" t="s">
        <v>32</v>
      </c>
      <c r="D648" s="3">
        <v>5000</v>
      </c>
      <c r="E648"/>
      <c r="F648"/>
      <c r="G648"/>
      <c r="H648"/>
      <c r="I648"/>
      <c r="J648"/>
      <c r="K648"/>
      <c r="L648"/>
      <c r="M648" s="18" t="s">
        <v>255</v>
      </c>
      <c r="N648" t="s">
        <v>1241</v>
      </c>
      <c r="O648"/>
      <c r="P648" s="1" t="s">
        <v>721</v>
      </c>
      <c r="Q648" s="13" t="s">
        <v>25</v>
      </c>
      <c r="R648">
        <v>1</v>
      </c>
      <c r="S648">
        <v>5000</v>
      </c>
      <c r="T648"/>
      <c r="U648" s="9"/>
      <c r="V648" s="9"/>
      <c r="W648" s="9"/>
      <c r="X648" s="9"/>
    </row>
    <row r="649" spans="1:24">
      <c r="A649" s="13"/>
      <c r="B649" s="1"/>
      <c r="C649" s="1"/>
      <c r="D649" s="3" t="str">
        <f>SUBTOTAL(9,D631:D648)</f>
        <v>0</v>
      </c>
      <c r="E649"/>
      <c r="F649"/>
      <c r="G649"/>
      <c r="H649"/>
      <c r="I649"/>
      <c r="J649"/>
      <c r="K649"/>
      <c r="L649"/>
      <c r="M649" s="18" t="s">
        <v>256</v>
      </c>
      <c r="N649" t="s">
        <v>1474</v>
      </c>
      <c r="O649"/>
      <c r="P649" s="1"/>
      <c r="Q649" s="13"/>
      <c r="R649"/>
      <c r="S649"/>
      <c r="T649"/>
      <c r="U649" s="9"/>
      <c r="V649" s="9"/>
      <c r="W649" s="9"/>
      <c r="X649" s="9"/>
    </row>
    <row r="650" spans="1:24">
      <c r="A650" s="13" t="s">
        <v>19</v>
      </c>
      <c r="B650" s="1"/>
      <c r="C650" s="1" t="s">
        <v>20</v>
      </c>
      <c r="D650" s="3">
        <v>60000</v>
      </c>
      <c r="E650"/>
      <c r="F650"/>
      <c r="G650"/>
      <c r="H650"/>
      <c r="I650"/>
      <c r="J650"/>
      <c r="K650"/>
      <c r="L650"/>
      <c r="M650" s="18" t="s">
        <v>257</v>
      </c>
      <c r="N650" t="s">
        <v>1394</v>
      </c>
      <c r="O650" t="s">
        <v>96</v>
      </c>
      <c r="P650" s="1" t="s">
        <v>24</v>
      </c>
      <c r="Q650" s="13" t="s">
        <v>25</v>
      </c>
      <c r="R650">
        <v>2</v>
      </c>
      <c r="S650">
        <v>30000</v>
      </c>
      <c r="T650"/>
      <c r="U650" s="9"/>
      <c r="V650" s="9"/>
      <c r="W650" s="9"/>
      <c r="X650" s="9"/>
    </row>
    <row r="651" spans="1:24">
      <c r="A651" s="13" t="s">
        <v>19</v>
      </c>
      <c r="B651" s="1"/>
      <c r="C651" s="1" t="s">
        <v>20</v>
      </c>
      <c r="D651" s="3">
        <v>60000</v>
      </c>
      <c r="E651"/>
      <c r="F651"/>
      <c r="G651"/>
      <c r="H651"/>
      <c r="I651"/>
      <c r="J651"/>
      <c r="K651"/>
      <c r="L651"/>
      <c r="M651" s="18" t="s">
        <v>257</v>
      </c>
      <c r="N651" t="s">
        <v>1394</v>
      </c>
      <c r="O651" t="s">
        <v>96</v>
      </c>
      <c r="P651" s="1" t="s">
        <v>24</v>
      </c>
      <c r="Q651" s="13" t="s">
        <v>25</v>
      </c>
      <c r="R651">
        <v>2</v>
      </c>
      <c r="S651">
        <v>30000</v>
      </c>
      <c r="T651"/>
      <c r="U651" s="9"/>
      <c r="V651" s="9"/>
      <c r="W651" s="9"/>
      <c r="X651" s="9"/>
    </row>
    <row r="652" spans="1:24">
      <c r="A652" s="13" t="s">
        <v>19</v>
      </c>
      <c r="B652" s="1"/>
      <c r="C652" s="1" t="s">
        <v>29</v>
      </c>
      <c r="D652" s="3">
        <v>10000</v>
      </c>
      <c r="E652"/>
      <c r="F652"/>
      <c r="G652"/>
      <c r="H652"/>
      <c r="I652"/>
      <c r="J652"/>
      <c r="K652"/>
      <c r="L652"/>
      <c r="M652" s="18" t="s">
        <v>257</v>
      </c>
      <c r="N652" t="s">
        <v>1394</v>
      </c>
      <c r="O652" t="s">
        <v>96</v>
      </c>
      <c r="P652" s="1" t="s">
        <v>30</v>
      </c>
      <c r="Q652" s="13" t="s">
        <v>25</v>
      </c>
      <c r="R652">
        <v>2</v>
      </c>
      <c r="S652">
        <v>5000</v>
      </c>
      <c r="T652"/>
      <c r="U652" s="9"/>
      <c r="V652" s="9"/>
      <c r="W652" s="9"/>
      <c r="X652" s="9"/>
    </row>
    <row r="653" spans="1:24">
      <c r="A653" s="13" t="s">
        <v>19</v>
      </c>
      <c r="B653" s="1"/>
      <c r="C653" s="1" t="s">
        <v>29</v>
      </c>
      <c r="D653" s="3">
        <v>10000</v>
      </c>
      <c r="E653"/>
      <c r="F653"/>
      <c r="G653"/>
      <c r="H653"/>
      <c r="I653"/>
      <c r="J653"/>
      <c r="K653"/>
      <c r="L653"/>
      <c r="M653" s="18" t="s">
        <v>257</v>
      </c>
      <c r="N653" t="s">
        <v>1394</v>
      </c>
      <c r="O653" t="s">
        <v>96</v>
      </c>
      <c r="P653" s="1" t="s">
        <v>30</v>
      </c>
      <c r="Q653" s="13" t="s">
        <v>25</v>
      </c>
      <c r="R653">
        <v>2</v>
      </c>
      <c r="S653">
        <v>5000</v>
      </c>
      <c r="T653"/>
      <c r="U653" s="9"/>
      <c r="V653" s="9"/>
      <c r="W653" s="9"/>
      <c r="X653" s="9"/>
    </row>
    <row r="654" spans="1:24">
      <c r="A654" s="13"/>
      <c r="B654" s="1"/>
      <c r="C654" s="1"/>
      <c r="D654" s="3" t="str">
        <f>SUBTOTAL(9,D650:D653)</f>
        <v>0</v>
      </c>
      <c r="E654"/>
      <c r="F654"/>
      <c r="G654"/>
      <c r="H654"/>
      <c r="I654"/>
      <c r="J654"/>
      <c r="K654"/>
      <c r="L654"/>
      <c r="M654" s="18" t="s">
        <v>258</v>
      </c>
      <c r="N654" t="s">
        <v>1475</v>
      </c>
      <c r="O654" t="s">
        <v>96</v>
      </c>
      <c r="P654" s="1"/>
      <c r="Q654" s="13"/>
      <c r="R654"/>
      <c r="S654"/>
      <c r="T654"/>
      <c r="U654" s="9"/>
      <c r="V654" s="9"/>
      <c r="W654" s="9"/>
      <c r="X654" s="9"/>
    </row>
    <row r="655" spans="1:24">
      <c r="A655" s="13" t="s">
        <v>19</v>
      </c>
      <c r="B655" s="1"/>
      <c r="C655" s="1" t="s">
        <v>20</v>
      </c>
      <c r="D655" s="3">
        <v>60000</v>
      </c>
      <c r="E655"/>
      <c r="F655"/>
      <c r="G655"/>
      <c r="H655"/>
      <c r="I655"/>
      <c r="J655"/>
      <c r="K655"/>
      <c r="L655"/>
      <c r="M655" s="18" t="s">
        <v>259</v>
      </c>
      <c r="N655" t="s">
        <v>1148</v>
      </c>
      <c r="O655" t="s">
        <v>94</v>
      </c>
      <c r="P655" s="1" t="s">
        <v>24</v>
      </c>
      <c r="Q655" s="13" t="s">
        <v>25</v>
      </c>
      <c r="R655">
        <v>2</v>
      </c>
      <c r="S655">
        <v>30000</v>
      </c>
      <c r="T655"/>
      <c r="U655" s="9"/>
      <c r="V655" s="9"/>
      <c r="W655" s="9"/>
      <c r="X655" s="9"/>
    </row>
    <row r="656" spans="1:24">
      <c r="A656" s="13" t="s">
        <v>19</v>
      </c>
      <c r="B656" s="1"/>
      <c r="C656" s="1" t="s">
        <v>20</v>
      </c>
      <c r="D656" s="3">
        <v>60000</v>
      </c>
      <c r="E656"/>
      <c r="F656"/>
      <c r="G656"/>
      <c r="H656"/>
      <c r="I656"/>
      <c r="J656"/>
      <c r="K656"/>
      <c r="L656"/>
      <c r="M656" s="18" t="s">
        <v>259</v>
      </c>
      <c r="N656" t="s">
        <v>1148</v>
      </c>
      <c r="O656" t="s">
        <v>94</v>
      </c>
      <c r="P656" s="1" t="s">
        <v>24</v>
      </c>
      <c r="Q656" s="13" t="s">
        <v>25</v>
      </c>
      <c r="R656">
        <v>2</v>
      </c>
      <c r="S656">
        <v>30000</v>
      </c>
      <c r="T656"/>
      <c r="U656" s="9"/>
      <c r="V656" s="9"/>
      <c r="W656" s="9"/>
      <c r="X656" s="9"/>
    </row>
    <row r="657" spans="1:24">
      <c r="A657" s="13" t="s">
        <v>19</v>
      </c>
      <c r="B657" s="1"/>
      <c r="C657" s="1" t="s">
        <v>20</v>
      </c>
      <c r="D657" s="3">
        <v>60000</v>
      </c>
      <c r="E657"/>
      <c r="F657"/>
      <c r="G657"/>
      <c r="H657"/>
      <c r="I657"/>
      <c r="J657"/>
      <c r="K657"/>
      <c r="L657"/>
      <c r="M657" s="18" t="s">
        <v>259</v>
      </c>
      <c r="N657" t="s">
        <v>1148</v>
      </c>
      <c r="O657" t="s">
        <v>94</v>
      </c>
      <c r="P657" s="1" t="s">
        <v>24</v>
      </c>
      <c r="Q657" s="13" t="s">
        <v>25</v>
      </c>
      <c r="R657">
        <v>2</v>
      </c>
      <c r="S657">
        <v>30000</v>
      </c>
      <c r="T657"/>
      <c r="U657" s="9"/>
      <c r="V657" s="9"/>
      <c r="W657" s="9"/>
      <c r="X657" s="9"/>
    </row>
    <row r="658" spans="1:24">
      <c r="A658" s="13" t="s">
        <v>19</v>
      </c>
      <c r="B658" s="1"/>
      <c r="C658" s="1" t="s">
        <v>20</v>
      </c>
      <c r="D658" s="3">
        <v>30000</v>
      </c>
      <c r="E658"/>
      <c r="F658"/>
      <c r="G658"/>
      <c r="H658"/>
      <c r="I658"/>
      <c r="J658"/>
      <c r="K658"/>
      <c r="L658"/>
      <c r="M658" s="18" t="s">
        <v>259</v>
      </c>
      <c r="N658" t="s">
        <v>1148</v>
      </c>
      <c r="O658" t="s">
        <v>94</v>
      </c>
      <c r="P658" s="1" t="s">
        <v>24</v>
      </c>
      <c r="Q658" s="13" t="s">
        <v>25</v>
      </c>
      <c r="R658">
        <v>1</v>
      </c>
      <c r="S658">
        <v>30000</v>
      </c>
      <c r="T658"/>
      <c r="U658" s="9"/>
      <c r="V658" s="9"/>
      <c r="W658" s="9"/>
      <c r="X658" s="9"/>
    </row>
    <row r="659" spans="1:24">
      <c r="A659" s="13" t="s">
        <v>19</v>
      </c>
      <c r="B659" s="1"/>
      <c r="C659" s="1" t="s">
        <v>20</v>
      </c>
      <c r="D659" s="3">
        <v>30000</v>
      </c>
      <c r="E659"/>
      <c r="F659"/>
      <c r="G659"/>
      <c r="H659"/>
      <c r="I659"/>
      <c r="J659"/>
      <c r="K659"/>
      <c r="L659"/>
      <c r="M659" s="18" t="s">
        <v>259</v>
      </c>
      <c r="N659" t="s">
        <v>1148</v>
      </c>
      <c r="O659" t="s">
        <v>94</v>
      </c>
      <c r="P659" s="1" t="s">
        <v>24</v>
      </c>
      <c r="Q659" s="13" t="s">
        <v>25</v>
      </c>
      <c r="R659">
        <v>1</v>
      </c>
      <c r="S659">
        <v>30000</v>
      </c>
      <c r="T659"/>
      <c r="U659" s="9"/>
      <c r="V659" s="9"/>
      <c r="W659" s="9"/>
      <c r="X659" s="9"/>
    </row>
    <row r="660" spans="1:24">
      <c r="A660" s="13" t="s">
        <v>19</v>
      </c>
      <c r="B660" s="1"/>
      <c r="C660" s="1" t="s">
        <v>26</v>
      </c>
      <c r="D660" s="3">
        <v>37000</v>
      </c>
      <c r="E660"/>
      <c r="F660"/>
      <c r="G660"/>
      <c r="H660"/>
      <c r="I660"/>
      <c r="J660"/>
      <c r="K660"/>
      <c r="L660"/>
      <c r="M660" s="18" t="s">
        <v>259</v>
      </c>
      <c r="N660" t="s">
        <v>1148</v>
      </c>
      <c r="O660" t="s">
        <v>94</v>
      </c>
      <c r="P660" s="1" t="s">
        <v>722</v>
      </c>
      <c r="Q660" s="13" t="s">
        <v>25</v>
      </c>
      <c r="R660">
        <v>1</v>
      </c>
      <c r="S660">
        <v>37000</v>
      </c>
      <c r="T660"/>
      <c r="U660" s="9"/>
      <c r="V660" s="9"/>
      <c r="W660" s="9"/>
      <c r="X660" s="9"/>
    </row>
    <row r="661" spans="1:24">
      <c r="A661" s="13" t="s">
        <v>19</v>
      </c>
      <c r="B661" s="1"/>
      <c r="C661" s="1" t="s">
        <v>29</v>
      </c>
      <c r="D661" s="3">
        <v>10000</v>
      </c>
      <c r="E661"/>
      <c r="F661"/>
      <c r="G661"/>
      <c r="H661"/>
      <c r="I661"/>
      <c r="J661"/>
      <c r="K661"/>
      <c r="L661"/>
      <c r="M661" s="18" t="s">
        <v>259</v>
      </c>
      <c r="N661" t="s">
        <v>1148</v>
      </c>
      <c r="O661" t="s">
        <v>94</v>
      </c>
      <c r="P661" s="1" t="s">
        <v>30</v>
      </c>
      <c r="Q661" s="13" t="s">
        <v>25</v>
      </c>
      <c r="R661">
        <v>2</v>
      </c>
      <c r="S661">
        <v>5000</v>
      </c>
      <c r="T661"/>
      <c r="U661" s="9"/>
      <c r="V661" s="9"/>
      <c r="W661" s="9"/>
      <c r="X661" s="9"/>
    </row>
    <row r="662" spans="1:24">
      <c r="A662" s="13" t="s">
        <v>19</v>
      </c>
      <c r="B662" s="1"/>
      <c r="C662" s="1" t="s">
        <v>29</v>
      </c>
      <c r="D662" s="3">
        <v>10000</v>
      </c>
      <c r="E662"/>
      <c r="F662"/>
      <c r="G662"/>
      <c r="H662"/>
      <c r="I662"/>
      <c r="J662"/>
      <c r="K662"/>
      <c r="L662"/>
      <c r="M662" s="18" t="s">
        <v>259</v>
      </c>
      <c r="N662" t="s">
        <v>1148</v>
      </c>
      <c r="O662" t="s">
        <v>94</v>
      </c>
      <c r="P662" s="1" t="s">
        <v>30</v>
      </c>
      <c r="Q662" s="13" t="s">
        <v>25</v>
      </c>
      <c r="R662">
        <v>2</v>
      </c>
      <c r="S662">
        <v>5000</v>
      </c>
      <c r="T662"/>
      <c r="U662" s="9"/>
      <c r="V662" s="9"/>
      <c r="W662" s="9"/>
      <c r="X662" s="9"/>
    </row>
    <row r="663" spans="1:24">
      <c r="A663" s="13" t="s">
        <v>19</v>
      </c>
      <c r="B663" s="1"/>
      <c r="C663" s="1" t="s">
        <v>29</v>
      </c>
      <c r="D663" s="3">
        <v>10000</v>
      </c>
      <c r="E663"/>
      <c r="F663"/>
      <c r="G663"/>
      <c r="H663"/>
      <c r="I663"/>
      <c r="J663"/>
      <c r="K663"/>
      <c r="L663"/>
      <c r="M663" s="18" t="s">
        <v>259</v>
      </c>
      <c r="N663" t="s">
        <v>1148</v>
      </c>
      <c r="O663" t="s">
        <v>94</v>
      </c>
      <c r="P663" s="1" t="s">
        <v>30</v>
      </c>
      <c r="Q663" s="13" t="s">
        <v>25</v>
      </c>
      <c r="R663">
        <v>2</v>
      </c>
      <c r="S663">
        <v>5000</v>
      </c>
      <c r="T663"/>
      <c r="U663" s="9"/>
      <c r="V663" s="9"/>
      <c r="W663" s="9"/>
      <c r="X663" s="9"/>
    </row>
    <row r="664" spans="1:24">
      <c r="A664" s="13" t="s">
        <v>19</v>
      </c>
      <c r="B664" s="1"/>
      <c r="C664" s="1" t="s">
        <v>29</v>
      </c>
      <c r="D664" s="3">
        <v>5000</v>
      </c>
      <c r="E664"/>
      <c r="F664"/>
      <c r="G664"/>
      <c r="H664"/>
      <c r="I664"/>
      <c r="J664"/>
      <c r="K664"/>
      <c r="L664"/>
      <c r="M664" s="18" t="s">
        <v>259</v>
      </c>
      <c r="N664" t="s">
        <v>1148</v>
      </c>
      <c r="O664" t="s">
        <v>94</v>
      </c>
      <c r="P664" s="1" t="s">
        <v>30</v>
      </c>
      <c r="Q664" s="13" t="s">
        <v>25</v>
      </c>
      <c r="R664">
        <v>1</v>
      </c>
      <c r="S664">
        <v>5000</v>
      </c>
      <c r="T664"/>
      <c r="U664" s="9"/>
      <c r="V664" s="9"/>
      <c r="W664" s="9"/>
      <c r="X664" s="9"/>
    </row>
    <row r="665" spans="1:24">
      <c r="A665" s="13" t="s">
        <v>19</v>
      </c>
      <c r="B665" s="1"/>
      <c r="C665" s="1" t="s">
        <v>29</v>
      </c>
      <c r="D665" s="3">
        <v>5000</v>
      </c>
      <c r="E665"/>
      <c r="F665"/>
      <c r="G665"/>
      <c r="H665"/>
      <c r="I665"/>
      <c r="J665"/>
      <c r="K665"/>
      <c r="L665"/>
      <c r="M665" s="18" t="s">
        <v>259</v>
      </c>
      <c r="N665" t="s">
        <v>1148</v>
      </c>
      <c r="O665" t="s">
        <v>94</v>
      </c>
      <c r="P665" s="1" t="s">
        <v>30</v>
      </c>
      <c r="Q665" s="13" t="s">
        <v>25</v>
      </c>
      <c r="R665">
        <v>1</v>
      </c>
      <c r="S665">
        <v>5000</v>
      </c>
      <c r="T665"/>
      <c r="U665" s="9"/>
      <c r="V665" s="9"/>
      <c r="W665" s="9"/>
      <c r="X665" s="9"/>
    </row>
    <row r="666" spans="1:24">
      <c r="A666" s="13" t="s">
        <v>19</v>
      </c>
      <c r="B666" s="1"/>
      <c r="C666" s="1" t="s">
        <v>32</v>
      </c>
      <c r="D666" s="3">
        <v>5000</v>
      </c>
      <c r="E666"/>
      <c r="F666"/>
      <c r="G666"/>
      <c r="H666"/>
      <c r="I666"/>
      <c r="J666"/>
      <c r="K666"/>
      <c r="L666"/>
      <c r="M666" s="18" t="s">
        <v>259</v>
      </c>
      <c r="N666" t="s">
        <v>1148</v>
      </c>
      <c r="O666" t="s">
        <v>94</v>
      </c>
      <c r="P666" s="1" t="s">
        <v>723</v>
      </c>
      <c r="Q666" s="13" t="s">
        <v>25</v>
      </c>
      <c r="R666">
        <v>1</v>
      </c>
      <c r="S666">
        <v>5000</v>
      </c>
      <c r="T666"/>
      <c r="U666" s="9"/>
      <c r="V666" s="9"/>
      <c r="W666" s="9"/>
      <c r="X666" s="9"/>
    </row>
    <row r="667" spans="1:24">
      <c r="A667" s="13"/>
      <c r="B667" s="1"/>
      <c r="C667" s="1"/>
      <c r="D667" s="3" t="str">
        <f>SUBTOTAL(9,D655:D666)</f>
        <v>0</v>
      </c>
      <c r="E667"/>
      <c r="F667"/>
      <c r="G667"/>
      <c r="H667"/>
      <c r="I667"/>
      <c r="J667"/>
      <c r="K667"/>
      <c r="L667"/>
      <c r="M667" s="18" t="s">
        <v>260</v>
      </c>
      <c r="N667" t="s">
        <v>1476</v>
      </c>
      <c r="O667" t="s">
        <v>94</v>
      </c>
      <c r="P667" s="1"/>
      <c r="Q667" s="13"/>
      <c r="R667"/>
      <c r="S667"/>
      <c r="T667"/>
      <c r="U667" s="9"/>
      <c r="V667" s="9"/>
      <c r="W667" s="9"/>
      <c r="X667" s="9"/>
    </row>
    <row r="668" spans="1:24">
      <c r="A668" s="13" t="s">
        <v>19</v>
      </c>
      <c r="B668" s="1"/>
      <c r="C668" s="1" t="s">
        <v>20</v>
      </c>
      <c r="D668" s="3">
        <v>33000</v>
      </c>
      <c r="E668"/>
      <c r="F668"/>
      <c r="G668"/>
      <c r="H668"/>
      <c r="I668"/>
      <c r="J668"/>
      <c r="K668"/>
      <c r="L668"/>
      <c r="M668" s="18" t="s">
        <v>261</v>
      </c>
      <c r="N668" t="s">
        <v>1287</v>
      </c>
      <c r="O668" t="s">
        <v>1395</v>
      </c>
      <c r="P668" s="1" t="s">
        <v>520</v>
      </c>
      <c r="Q668" s="13" t="s">
        <v>25</v>
      </c>
      <c r="R668">
        <v>1</v>
      </c>
      <c r="S668">
        <v>33000</v>
      </c>
      <c r="T668"/>
      <c r="U668" s="9"/>
      <c r="V668" s="9"/>
      <c r="W668" s="9"/>
      <c r="X668" s="9"/>
    </row>
    <row r="669" spans="1:24">
      <c r="A669" s="13" t="s">
        <v>19</v>
      </c>
      <c r="B669" s="1"/>
      <c r="C669" s="1" t="s">
        <v>20</v>
      </c>
      <c r="D669" s="3">
        <v>33000</v>
      </c>
      <c r="E669"/>
      <c r="F669"/>
      <c r="G669"/>
      <c r="H669"/>
      <c r="I669"/>
      <c r="J669"/>
      <c r="K669"/>
      <c r="L669"/>
      <c r="M669" s="18" t="s">
        <v>261</v>
      </c>
      <c r="N669" t="s">
        <v>1287</v>
      </c>
      <c r="O669" t="s">
        <v>1395</v>
      </c>
      <c r="P669" s="1" t="s">
        <v>724</v>
      </c>
      <c r="Q669" s="13" t="s">
        <v>25</v>
      </c>
      <c r="R669">
        <v>1</v>
      </c>
      <c r="S669">
        <v>33000</v>
      </c>
      <c r="T669"/>
      <c r="U669" s="9"/>
      <c r="V669" s="9"/>
      <c r="W669" s="9"/>
      <c r="X669" s="9"/>
    </row>
    <row r="670" spans="1:24">
      <c r="A670" s="13" t="s">
        <v>19</v>
      </c>
      <c r="B670" s="1"/>
      <c r="C670" s="1" t="s">
        <v>20</v>
      </c>
      <c r="D670" s="3">
        <v>33000</v>
      </c>
      <c r="E670"/>
      <c r="F670"/>
      <c r="G670"/>
      <c r="H670"/>
      <c r="I670"/>
      <c r="J670"/>
      <c r="K670"/>
      <c r="L670"/>
      <c r="M670" s="18" t="s">
        <v>261</v>
      </c>
      <c r="N670" t="s">
        <v>1287</v>
      </c>
      <c r="O670" t="s">
        <v>1395</v>
      </c>
      <c r="P670" s="1" t="s">
        <v>725</v>
      </c>
      <c r="Q670" s="13" t="s">
        <v>25</v>
      </c>
      <c r="R670">
        <v>1</v>
      </c>
      <c r="S670">
        <v>33000</v>
      </c>
      <c r="T670"/>
      <c r="U670" s="9"/>
      <c r="V670" s="9"/>
      <c r="W670" s="9"/>
      <c r="X670" s="9"/>
    </row>
    <row r="671" spans="1:24">
      <c r="A671" s="13" t="s">
        <v>19</v>
      </c>
      <c r="B671" s="1"/>
      <c r="C671" s="1" t="s">
        <v>26</v>
      </c>
      <c r="D671" s="3">
        <v>37000</v>
      </c>
      <c r="E671"/>
      <c r="F671"/>
      <c r="G671"/>
      <c r="H671"/>
      <c r="I671"/>
      <c r="J671"/>
      <c r="K671"/>
      <c r="L671"/>
      <c r="M671" s="18" t="s">
        <v>261</v>
      </c>
      <c r="N671" t="s">
        <v>1287</v>
      </c>
      <c r="O671" t="s">
        <v>1395</v>
      </c>
      <c r="P671" s="1" t="s">
        <v>651</v>
      </c>
      <c r="Q671" s="13" t="s">
        <v>25</v>
      </c>
      <c r="R671">
        <v>1</v>
      </c>
      <c r="S671">
        <v>37000</v>
      </c>
      <c r="T671"/>
      <c r="U671" s="9"/>
      <c r="V671" s="9"/>
      <c r="W671" s="9"/>
      <c r="X671" s="9"/>
    </row>
    <row r="672" spans="1:24">
      <c r="A672" s="13" t="s">
        <v>19</v>
      </c>
      <c r="B672" s="1"/>
      <c r="C672" s="1" t="s">
        <v>29</v>
      </c>
      <c r="D672" s="3">
        <v>5000</v>
      </c>
      <c r="E672"/>
      <c r="F672"/>
      <c r="G672"/>
      <c r="H672"/>
      <c r="I672"/>
      <c r="J672"/>
      <c r="K672"/>
      <c r="L672"/>
      <c r="M672" s="18" t="s">
        <v>261</v>
      </c>
      <c r="N672" t="s">
        <v>1287</v>
      </c>
      <c r="O672" t="s">
        <v>1395</v>
      </c>
      <c r="P672" s="1" t="s">
        <v>522</v>
      </c>
      <c r="Q672" s="13" t="s">
        <v>25</v>
      </c>
      <c r="R672">
        <v>1</v>
      </c>
      <c r="S672">
        <v>5000</v>
      </c>
      <c r="T672"/>
      <c r="U672" s="9"/>
      <c r="V672" s="9"/>
      <c r="W672" s="9"/>
      <c r="X672" s="9"/>
    </row>
    <row r="673" spans="1:24">
      <c r="A673" s="13" t="s">
        <v>19</v>
      </c>
      <c r="B673" s="1"/>
      <c r="C673" s="1" t="s">
        <v>29</v>
      </c>
      <c r="D673" s="3">
        <v>5000</v>
      </c>
      <c r="E673"/>
      <c r="F673"/>
      <c r="G673"/>
      <c r="H673"/>
      <c r="I673"/>
      <c r="J673"/>
      <c r="K673"/>
      <c r="L673"/>
      <c r="M673" s="18" t="s">
        <v>261</v>
      </c>
      <c r="N673" t="s">
        <v>1287</v>
      </c>
      <c r="O673" t="s">
        <v>1395</v>
      </c>
      <c r="P673" s="1" t="s">
        <v>726</v>
      </c>
      <c r="Q673" s="13" t="s">
        <v>25</v>
      </c>
      <c r="R673">
        <v>1</v>
      </c>
      <c r="S673">
        <v>5000</v>
      </c>
      <c r="T673"/>
      <c r="U673" s="9"/>
      <c r="V673" s="9"/>
      <c r="W673" s="9"/>
      <c r="X673" s="9"/>
    </row>
    <row r="674" spans="1:24">
      <c r="A674" s="13" t="s">
        <v>19</v>
      </c>
      <c r="B674" s="1"/>
      <c r="C674" s="1" t="s">
        <v>29</v>
      </c>
      <c r="D674" s="3">
        <v>5000</v>
      </c>
      <c r="E674"/>
      <c r="F674"/>
      <c r="G674"/>
      <c r="H674"/>
      <c r="I674"/>
      <c r="J674"/>
      <c r="K674"/>
      <c r="L674"/>
      <c r="M674" s="18" t="s">
        <v>261</v>
      </c>
      <c r="N674" t="s">
        <v>1287</v>
      </c>
      <c r="O674" t="s">
        <v>1395</v>
      </c>
      <c r="P674" s="1" t="s">
        <v>727</v>
      </c>
      <c r="Q674" s="13" t="s">
        <v>25</v>
      </c>
      <c r="R674">
        <v>1</v>
      </c>
      <c r="S674">
        <v>5000</v>
      </c>
      <c r="T674"/>
      <c r="U674" s="9"/>
      <c r="V674" s="9"/>
      <c r="W674" s="9"/>
      <c r="X674" s="9"/>
    </row>
    <row r="675" spans="1:24">
      <c r="A675" s="13" t="s">
        <v>19</v>
      </c>
      <c r="B675" s="1"/>
      <c r="C675" s="1" t="s">
        <v>32</v>
      </c>
      <c r="D675" s="3">
        <v>5000</v>
      </c>
      <c r="E675"/>
      <c r="F675"/>
      <c r="G675"/>
      <c r="H675"/>
      <c r="I675"/>
      <c r="J675"/>
      <c r="K675"/>
      <c r="L675"/>
      <c r="M675" s="18" t="s">
        <v>261</v>
      </c>
      <c r="N675" t="s">
        <v>1287</v>
      </c>
      <c r="O675" t="s">
        <v>1395</v>
      </c>
      <c r="P675" s="1" t="s">
        <v>654</v>
      </c>
      <c r="Q675" s="13" t="s">
        <v>25</v>
      </c>
      <c r="R675">
        <v>1</v>
      </c>
      <c r="S675">
        <v>5000</v>
      </c>
      <c r="T675"/>
      <c r="U675" s="9"/>
      <c r="V675" s="9"/>
      <c r="W675" s="9"/>
      <c r="X675" s="9"/>
    </row>
    <row r="676" spans="1:24">
      <c r="A676" s="13"/>
      <c r="B676" s="1"/>
      <c r="C676" s="1"/>
      <c r="D676" s="3" t="str">
        <f>SUBTOTAL(9,D668:D675)</f>
        <v>0</v>
      </c>
      <c r="E676"/>
      <c r="F676"/>
      <c r="G676"/>
      <c r="H676"/>
      <c r="I676"/>
      <c r="J676"/>
      <c r="K676"/>
      <c r="L676"/>
      <c r="M676" s="18" t="s">
        <v>262</v>
      </c>
      <c r="N676" t="s">
        <v>1477</v>
      </c>
      <c r="O676" t="s">
        <v>1395</v>
      </c>
      <c r="P676" s="1"/>
      <c r="Q676" s="13"/>
      <c r="R676"/>
      <c r="S676"/>
      <c r="T676"/>
      <c r="U676" s="9"/>
      <c r="V676" s="9"/>
      <c r="W676" s="9"/>
      <c r="X676" s="9"/>
    </row>
    <row r="677" spans="1:24">
      <c r="A677" s="13" t="s">
        <v>19</v>
      </c>
      <c r="B677" s="1"/>
      <c r="C677" s="1" t="s">
        <v>20</v>
      </c>
      <c r="D677" s="3">
        <v>96000</v>
      </c>
      <c r="E677"/>
      <c r="F677"/>
      <c r="G677"/>
      <c r="H677"/>
      <c r="I677"/>
      <c r="J677"/>
      <c r="K677"/>
      <c r="L677"/>
      <c r="M677" s="18" t="s">
        <v>263</v>
      </c>
      <c r="N677" t="s">
        <v>1330</v>
      </c>
      <c r="O677" t="s">
        <v>23</v>
      </c>
      <c r="P677" s="1" t="s">
        <v>538</v>
      </c>
      <c r="Q677" s="13" t="s">
        <v>25</v>
      </c>
      <c r="R677">
        <v>3</v>
      </c>
      <c r="S677">
        <v>32000</v>
      </c>
      <c r="T677"/>
      <c r="U677" s="9"/>
      <c r="V677" s="9"/>
      <c r="W677" s="9"/>
      <c r="X677" s="9"/>
    </row>
    <row r="678" spans="1:24">
      <c r="A678" s="13" t="s">
        <v>19</v>
      </c>
      <c r="B678" s="1"/>
      <c r="C678" s="1" t="s">
        <v>20</v>
      </c>
      <c r="D678" s="3">
        <v>96000</v>
      </c>
      <c r="E678"/>
      <c r="F678"/>
      <c r="G678"/>
      <c r="H678"/>
      <c r="I678"/>
      <c r="J678"/>
      <c r="K678"/>
      <c r="L678"/>
      <c r="M678" s="18" t="s">
        <v>263</v>
      </c>
      <c r="N678" t="s">
        <v>1330</v>
      </c>
      <c r="O678" t="s">
        <v>23</v>
      </c>
      <c r="P678" s="1" t="s">
        <v>495</v>
      </c>
      <c r="Q678" s="13" t="s">
        <v>25</v>
      </c>
      <c r="R678">
        <v>3</v>
      </c>
      <c r="S678">
        <v>32000</v>
      </c>
      <c r="T678"/>
      <c r="U678" s="9"/>
      <c r="V678" s="9"/>
      <c r="W678" s="9"/>
      <c r="X678" s="9"/>
    </row>
    <row r="679" spans="1:24">
      <c r="A679" s="13" t="s">
        <v>19</v>
      </c>
      <c r="B679" s="1"/>
      <c r="C679" s="1" t="s">
        <v>20</v>
      </c>
      <c r="D679" s="3">
        <v>64000</v>
      </c>
      <c r="E679"/>
      <c r="F679"/>
      <c r="G679"/>
      <c r="H679"/>
      <c r="I679"/>
      <c r="J679"/>
      <c r="K679"/>
      <c r="L679"/>
      <c r="M679" s="18" t="s">
        <v>263</v>
      </c>
      <c r="N679" t="s">
        <v>1330</v>
      </c>
      <c r="O679" t="s">
        <v>23</v>
      </c>
      <c r="P679" s="1" t="s">
        <v>728</v>
      </c>
      <c r="Q679" s="13" t="s">
        <v>25</v>
      </c>
      <c r="R679">
        <v>2</v>
      </c>
      <c r="S679">
        <v>32000</v>
      </c>
      <c r="T679"/>
      <c r="U679" s="9"/>
      <c r="V679" s="9"/>
      <c r="W679" s="9"/>
      <c r="X679" s="9"/>
    </row>
    <row r="680" spans="1:24">
      <c r="A680" s="13" t="s">
        <v>19</v>
      </c>
      <c r="B680" s="1"/>
      <c r="C680" s="1" t="s">
        <v>26</v>
      </c>
      <c r="D680" s="3">
        <v>37000</v>
      </c>
      <c r="E680"/>
      <c r="F680"/>
      <c r="G680"/>
      <c r="H680"/>
      <c r="I680"/>
      <c r="J680"/>
      <c r="K680"/>
      <c r="L680"/>
      <c r="M680" s="18" t="s">
        <v>263</v>
      </c>
      <c r="N680" t="s">
        <v>1330</v>
      </c>
      <c r="O680" t="s">
        <v>23</v>
      </c>
      <c r="P680" s="1" t="s">
        <v>729</v>
      </c>
      <c r="Q680" s="13" t="s">
        <v>25</v>
      </c>
      <c r="R680">
        <v>1</v>
      </c>
      <c r="S680">
        <v>37000</v>
      </c>
      <c r="T680"/>
      <c r="U680" s="9"/>
      <c r="V680" s="9"/>
      <c r="W680" s="9"/>
      <c r="X680" s="9"/>
    </row>
    <row r="681" spans="1:24">
      <c r="A681" s="13" t="s">
        <v>19</v>
      </c>
      <c r="B681" s="1"/>
      <c r="C681" s="1" t="s">
        <v>29</v>
      </c>
      <c r="D681" s="3">
        <v>15000</v>
      </c>
      <c r="E681"/>
      <c r="F681"/>
      <c r="G681"/>
      <c r="H681"/>
      <c r="I681"/>
      <c r="J681"/>
      <c r="K681"/>
      <c r="L681"/>
      <c r="M681" s="18" t="s">
        <v>263</v>
      </c>
      <c r="N681" t="s">
        <v>1330</v>
      </c>
      <c r="O681" t="s">
        <v>23</v>
      </c>
      <c r="P681" s="1" t="s">
        <v>539</v>
      </c>
      <c r="Q681" s="13" t="s">
        <v>25</v>
      </c>
      <c r="R681">
        <v>3</v>
      </c>
      <c r="S681">
        <v>5000</v>
      </c>
      <c r="T681"/>
      <c r="U681" s="9"/>
      <c r="V681" s="9"/>
      <c r="W681" s="9"/>
      <c r="X681" s="9"/>
    </row>
    <row r="682" spans="1:24">
      <c r="A682" s="13" t="s">
        <v>19</v>
      </c>
      <c r="B682" s="1"/>
      <c r="C682" s="1" t="s">
        <v>29</v>
      </c>
      <c r="D682" s="3">
        <v>15000</v>
      </c>
      <c r="E682"/>
      <c r="F682"/>
      <c r="G682"/>
      <c r="H682"/>
      <c r="I682"/>
      <c r="J682"/>
      <c r="K682"/>
      <c r="L682"/>
      <c r="M682" s="18" t="s">
        <v>263</v>
      </c>
      <c r="N682" t="s">
        <v>1330</v>
      </c>
      <c r="O682" t="s">
        <v>23</v>
      </c>
      <c r="P682" s="1" t="s">
        <v>499</v>
      </c>
      <c r="Q682" s="13" t="s">
        <v>25</v>
      </c>
      <c r="R682">
        <v>3</v>
      </c>
      <c r="S682">
        <v>5000</v>
      </c>
      <c r="T682"/>
      <c r="U682" s="9"/>
      <c r="V682" s="9"/>
      <c r="W682" s="9"/>
      <c r="X682" s="9"/>
    </row>
    <row r="683" spans="1:24">
      <c r="A683" s="13" t="s">
        <v>19</v>
      </c>
      <c r="B683" s="1"/>
      <c r="C683" s="1" t="s">
        <v>29</v>
      </c>
      <c r="D683" s="3">
        <v>10000</v>
      </c>
      <c r="E683"/>
      <c r="F683"/>
      <c r="G683"/>
      <c r="H683"/>
      <c r="I683"/>
      <c r="J683"/>
      <c r="K683"/>
      <c r="L683"/>
      <c r="M683" s="18" t="s">
        <v>263</v>
      </c>
      <c r="N683" t="s">
        <v>1330</v>
      </c>
      <c r="O683" t="s">
        <v>23</v>
      </c>
      <c r="P683" s="1" t="s">
        <v>730</v>
      </c>
      <c r="Q683" s="13" t="s">
        <v>25</v>
      </c>
      <c r="R683">
        <v>2</v>
      </c>
      <c r="S683">
        <v>5000</v>
      </c>
      <c r="T683"/>
      <c r="U683" s="9"/>
      <c r="V683" s="9"/>
      <c r="W683" s="9"/>
      <c r="X683" s="9"/>
    </row>
    <row r="684" spans="1:24">
      <c r="A684" s="13" t="s">
        <v>19</v>
      </c>
      <c r="B684" s="1"/>
      <c r="C684" s="1" t="s">
        <v>32</v>
      </c>
      <c r="D684" s="3">
        <v>5000</v>
      </c>
      <c r="E684"/>
      <c r="F684"/>
      <c r="G684"/>
      <c r="H684"/>
      <c r="I684"/>
      <c r="J684"/>
      <c r="K684"/>
      <c r="L684"/>
      <c r="M684" s="18" t="s">
        <v>263</v>
      </c>
      <c r="N684" t="s">
        <v>1330</v>
      </c>
      <c r="O684" t="s">
        <v>23</v>
      </c>
      <c r="P684" s="1" t="s">
        <v>731</v>
      </c>
      <c r="Q684" s="13" t="s">
        <v>25</v>
      </c>
      <c r="R684">
        <v>1</v>
      </c>
      <c r="S684">
        <v>5000</v>
      </c>
      <c r="T684"/>
      <c r="U684" s="9"/>
      <c r="V684" s="9"/>
      <c r="W684" s="9"/>
      <c r="X684" s="9"/>
    </row>
    <row r="685" spans="1:24">
      <c r="A685" s="13"/>
      <c r="B685" s="1"/>
      <c r="C685" s="1"/>
      <c r="D685" s="3" t="str">
        <f>SUBTOTAL(9,D677:D684)</f>
        <v>0</v>
      </c>
      <c r="E685"/>
      <c r="F685"/>
      <c r="G685"/>
      <c r="H685"/>
      <c r="I685"/>
      <c r="J685"/>
      <c r="K685"/>
      <c r="L685"/>
      <c r="M685" s="18" t="s">
        <v>264</v>
      </c>
      <c r="N685" t="s">
        <v>1478</v>
      </c>
      <c r="O685" t="s">
        <v>23</v>
      </c>
      <c r="P685" s="1"/>
      <c r="Q685" s="13"/>
      <c r="R685"/>
      <c r="S685"/>
      <c r="T685"/>
      <c r="U685" s="9"/>
      <c r="V685" s="9"/>
      <c r="W685" s="9"/>
      <c r="X685" s="9"/>
    </row>
    <row r="686" spans="1:24">
      <c r="A686" s="13" t="s">
        <v>19</v>
      </c>
      <c r="B686" s="1"/>
      <c r="C686" s="1" t="s">
        <v>26</v>
      </c>
      <c r="D686" s="3">
        <v>32000</v>
      </c>
      <c r="E686"/>
      <c r="F686"/>
      <c r="G686"/>
      <c r="H686"/>
      <c r="I686"/>
      <c r="J686"/>
      <c r="K686"/>
      <c r="L686"/>
      <c r="M686" s="18" t="s">
        <v>265</v>
      </c>
      <c r="N686" t="s">
        <v>1331</v>
      </c>
      <c r="O686" t="s">
        <v>1395</v>
      </c>
      <c r="P686" s="1" t="s">
        <v>676</v>
      </c>
      <c r="Q686" s="13" t="s">
        <v>25</v>
      </c>
      <c r="R686">
        <v>1</v>
      </c>
      <c r="S686">
        <v>32000</v>
      </c>
      <c r="T686"/>
      <c r="U686" s="9"/>
      <c r="V686" s="9"/>
      <c r="W686" s="9"/>
      <c r="X686" s="9"/>
    </row>
    <row r="687" spans="1:24">
      <c r="A687" s="13" t="s">
        <v>19</v>
      </c>
      <c r="B687" s="1"/>
      <c r="C687" s="1" t="s">
        <v>32</v>
      </c>
      <c r="D687" s="3">
        <v>5000</v>
      </c>
      <c r="E687"/>
      <c r="F687"/>
      <c r="G687"/>
      <c r="H687"/>
      <c r="I687"/>
      <c r="J687"/>
      <c r="K687"/>
      <c r="L687"/>
      <c r="M687" s="18" t="s">
        <v>265</v>
      </c>
      <c r="N687" t="s">
        <v>1331</v>
      </c>
      <c r="O687" t="s">
        <v>1395</v>
      </c>
      <c r="P687" s="1" t="s">
        <v>677</v>
      </c>
      <c r="Q687" s="13" t="s">
        <v>25</v>
      </c>
      <c r="R687">
        <v>1</v>
      </c>
      <c r="S687">
        <v>5000</v>
      </c>
      <c r="T687"/>
      <c r="U687" s="9"/>
      <c r="V687" s="9"/>
      <c r="W687" s="9"/>
      <c r="X687" s="9"/>
    </row>
    <row r="688" spans="1:24">
      <c r="A688" s="13"/>
      <c r="B688" s="1"/>
      <c r="C688" s="1"/>
      <c r="D688" s="3" t="str">
        <f>SUBTOTAL(9,D686:D687)</f>
        <v>0</v>
      </c>
      <c r="E688"/>
      <c r="F688"/>
      <c r="G688"/>
      <c r="H688"/>
      <c r="I688"/>
      <c r="J688"/>
      <c r="K688"/>
      <c r="L688"/>
      <c r="M688" s="18" t="s">
        <v>266</v>
      </c>
      <c r="N688" t="s">
        <v>1479</v>
      </c>
      <c r="O688" t="s">
        <v>1395</v>
      </c>
      <c r="P688" s="1"/>
      <c r="Q688" s="13"/>
      <c r="R688"/>
      <c r="S688"/>
      <c r="T688"/>
      <c r="U688" s="9"/>
      <c r="V688" s="9"/>
      <c r="W688" s="9"/>
      <c r="X688" s="9"/>
    </row>
    <row r="689" spans="1:24">
      <c r="A689" s="13" t="s">
        <v>19</v>
      </c>
      <c r="B689" s="1"/>
      <c r="C689" s="1" t="s">
        <v>20</v>
      </c>
      <c r="D689" s="3">
        <v>64000</v>
      </c>
      <c r="E689"/>
      <c r="F689"/>
      <c r="G689"/>
      <c r="H689"/>
      <c r="I689"/>
      <c r="J689"/>
      <c r="K689"/>
      <c r="L689"/>
      <c r="M689" s="18" t="s">
        <v>267</v>
      </c>
      <c r="N689" t="s">
        <v>1286</v>
      </c>
      <c r="O689" t="s">
        <v>1395</v>
      </c>
      <c r="P689" s="1" t="s">
        <v>542</v>
      </c>
      <c r="Q689" s="13" t="s">
        <v>1018</v>
      </c>
      <c r="R689">
        <v>2</v>
      </c>
      <c r="S689">
        <v>32000</v>
      </c>
      <c r="T689"/>
      <c r="U689" s="9"/>
      <c r="V689" s="9"/>
      <c r="W689" s="9"/>
      <c r="X689" s="9"/>
    </row>
    <row r="690" spans="1:24">
      <c r="A690" s="13" t="s">
        <v>19</v>
      </c>
      <c r="B690" s="1"/>
      <c r="C690" s="1" t="s">
        <v>29</v>
      </c>
      <c r="D690" s="3">
        <v>10000</v>
      </c>
      <c r="E690"/>
      <c r="F690"/>
      <c r="G690"/>
      <c r="H690"/>
      <c r="I690"/>
      <c r="J690"/>
      <c r="K690"/>
      <c r="L690"/>
      <c r="M690" s="18" t="s">
        <v>267</v>
      </c>
      <c r="N690" t="s">
        <v>1286</v>
      </c>
      <c r="O690" t="s">
        <v>1395</v>
      </c>
      <c r="P690" s="1" t="s">
        <v>543</v>
      </c>
      <c r="Q690" s="13" t="s">
        <v>1018</v>
      </c>
      <c r="R690">
        <v>2</v>
      </c>
      <c r="S690">
        <v>5000</v>
      </c>
      <c r="T690"/>
      <c r="U690" s="9"/>
      <c r="V690" s="9"/>
      <c r="W690" s="9"/>
      <c r="X690" s="9"/>
    </row>
    <row r="691" spans="1:24">
      <c r="A691" s="13"/>
      <c r="B691" s="1"/>
      <c r="C691" s="1"/>
      <c r="D691" s="3" t="str">
        <f>SUBTOTAL(9,D689:D690)</f>
        <v>0</v>
      </c>
      <c r="E691"/>
      <c r="F691"/>
      <c r="G691"/>
      <c r="H691"/>
      <c r="I691"/>
      <c r="J691"/>
      <c r="K691"/>
      <c r="L691"/>
      <c r="M691" s="18" t="s">
        <v>268</v>
      </c>
      <c r="N691" t="s">
        <v>1480</v>
      </c>
      <c r="O691" t="s">
        <v>1395</v>
      </c>
      <c r="P691" s="1"/>
      <c r="Q691" s="13"/>
      <c r="R691"/>
      <c r="S691"/>
      <c r="T691"/>
      <c r="U691" s="9"/>
      <c r="V691" s="9"/>
      <c r="W691" s="9"/>
      <c r="X691" s="9"/>
    </row>
    <row r="692" spans="1:24">
      <c r="A692" s="13" t="s">
        <v>19</v>
      </c>
      <c r="B692" s="1"/>
      <c r="C692" s="1" t="s">
        <v>20</v>
      </c>
      <c r="D692" s="3">
        <v>64000</v>
      </c>
      <c r="E692"/>
      <c r="F692"/>
      <c r="G692"/>
      <c r="H692"/>
      <c r="I692"/>
      <c r="J692"/>
      <c r="K692"/>
      <c r="L692"/>
      <c r="M692" s="18" t="s">
        <v>269</v>
      </c>
      <c r="N692" t="s">
        <v>1234</v>
      </c>
      <c r="O692" t="s">
        <v>23</v>
      </c>
      <c r="P692" s="1" t="s">
        <v>24</v>
      </c>
      <c r="Q692" s="13" t="s">
        <v>25</v>
      </c>
      <c r="R692">
        <v>2</v>
      </c>
      <c r="S692">
        <v>32000</v>
      </c>
      <c r="T692"/>
      <c r="U692" s="9"/>
      <c r="V692" s="9"/>
      <c r="W692" s="9"/>
      <c r="X692" s="9"/>
    </row>
    <row r="693" spans="1:24">
      <c r="A693" s="13" t="s">
        <v>19</v>
      </c>
      <c r="B693" s="1"/>
      <c r="C693" s="1" t="s">
        <v>20</v>
      </c>
      <c r="D693" s="3">
        <v>64000</v>
      </c>
      <c r="E693"/>
      <c r="F693"/>
      <c r="G693"/>
      <c r="H693"/>
      <c r="I693"/>
      <c r="J693"/>
      <c r="K693"/>
      <c r="L693"/>
      <c r="M693" s="18" t="s">
        <v>269</v>
      </c>
      <c r="N693" t="s">
        <v>1234</v>
      </c>
      <c r="O693" t="s">
        <v>23</v>
      </c>
      <c r="P693" s="1" t="s">
        <v>24</v>
      </c>
      <c r="Q693" s="13" t="s">
        <v>25</v>
      </c>
      <c r="R693">
        <v>2</v>
      </c>
      <c r="S693">
        <v>32000</v>
      </c>
      <c r="T693"/>
      <c r="U693" s="9"/>
      <c r="V693" s="9"/>
      <c r="W693" s="9"/>
      <c r="X693" s="9"/>
    </row>
    <row r="694" spans="1:24">
      <c r="A694" s="13" t="s">
        <v>19</v>
      </c>
      <c r="B694" s="1"/>
      <c r="C694" s="1" t="s">
        <v>20</v>
      </c>
      <c r="D694" s="3">
        <v>32000</v>
      </c>
      <c r="E694"/>
      <c r="F694"/>
      <c r="G694"/>
      <c r="H694"/>
      <c r="I694"/>
      <c r="J694"/>
      <c r="K694"/>
      <c r="L694"/>
      <c r="M694" s="18" t="s">
        <v>269</v>
      </c>
      <c r="N694" t="s">
        <v>1234</v>
      </c>
      <c r="O694" t="s">
        <v>23</v>
      </c>
      <c r="P694" s="1" t="s">
        <v>24</v>
      </c>
      <c r="Q694" s="13" t="s">
        <v>25</v>
      </c>
      <c r="R694">
        <v>1</v>
      </c>
      <c r="S694">
        <v>32000</v>
      </c>
      <c r="T694"/>
      <c r="U694" s="9"/>
      <c r="V694" s="9"/>
      <c r="W694" s="9"/>
      <c r="X694" s="9"/>
    </row>
    <row r="695" spans="1:24">
      <c r="A695" s="13" t="s">
        <v>19</v>
      </c>
      <c r="B695" s="1"/>
      <c r="C695" s="1" t="s">
        <v>26</v>
      </c>
      <c r="D695" s="3">
        <v>37000</v>
      </c>
      <c r="E695"/>
      <c r="F695"/>
      <c r="G695"/>
      <c r="H695"/>
      <c r="I695"/>
      <c r="J695"/>
      <c r="K695"/>
      <c r="L695"/>
      <c r="M695" s="18" t="s">
        <v>269</v>
      </c>
      <c r="N695" t="s">
        <v>1234</v>
      </c>
      <c r="O695" t="s">
        <v>23</v>
      </c>
      <c r="P695" s="1" t="s">
        <v>732</v>
      </c>
      <c r="Q695" s="13" t="s">
        <v>25</v>
      </c>
      <c r="R695">
        <v>1</v>
      </c>
      <c r="S695">
        <v>37000</v>
      </c>
      <c r="T695"/>
      <c r="U695" s="9"/>
      <c r="V695" s="9"/>
      <c r="W695" s="9"/>
      <c r="X695" s="9"/>
    </row>
    <row r="696" spans="1:24">
      <c r="A696" s="13" t="s">
        <v>19</v>
      </c>
      <c r="B696" s="1"/>
      <c r="C696" s="1" t="s">
        <v>29</v>
      </c>
      <c r="D696" s="3">
        <v>10000</v>
      </c>
      <c r="E696"/>
      <c r="F696"/>
      <c r="G696"/>
      <c r="H696"/>
      <c r="I696"/>
      <c r="J696"/>
      <c r="K696"/>
      <c r="L696"/>
      <c r="M696" s="18" t="s">
        <v>269</v>
      </c>
      <c r="N696" t="s">
        <v>1234</v>
      </c>
      <c r="O696" t="s">
        <v>23</v>
      </c>
      <c r="P696" s="1" t="s">
        <v>30</v>
      </c>
      <c r="Q696" s="13" t="s">
        <v>25</v>
      </c>
      <c r="R696">
        <v>2</v>
      </c>
      <c r="S696">
        <v>5000</v>
      </c>
      <c r="T696"/>
      <c r="U696" s="9"/>
      <c r="V696" s="9"/>
      <c r="W696" s="9"/>
      <c r="X696" s="9"/>
    </row>
    <row r="697" spans="1:24">
      <c r="A697" s="13" t="s">
        <v>19</v>
      </c>
      <c r="B697" s="1"/>
      <c r="C697" s="1" t="s">
        <v>29</v>
      </c>
      <c r="D697" s="3">
        <v>10000</v>
      </c>
      <c r="E697"/>
      <c r="F697"/>
      <c r="G697"/>
      <c r="H697"/>
      <c r="I697"/>
      <c r="J697"/>
      <c r="K697"/>
      <c r="L697"/>
      <c r="M697" s="18" t="s">
        <v>269</v>
      </c>
      <c r="N697" t="s">
        <v>1234</v>
      </c>
      <c r="O697" t="s">
        <v>23</v>
      </c>
      <c r="P697" s="1" t="s">
        <v>30</v>
      </c>
      <c r="Q697" s="13" t="s">
        <v>25</v>
      </c>
      <c r="R697">
        <v>2</v>
      </c>
      <c r="S697">
        <v>5000</v>
      </c>
      <c r="T697"/>
      <c r="U697" s="9"/>
      <c r="V697" s="9"/>
      <c r="W697" s="9"/>
      <c r="X697" s="9"/>
    </row>
    <row r="698" spans="1:24">
      <c r="A698" s="13" t="s">
        <v>19</v>
      </c>
      <c r="B698" s="1"/>
      <c r="C698" s="1" t="s">
        <v>29</v>
      </c>
      <c r="D698" s="3">
        <v>5000</v>
      </c>
      <c r="E698"/>
      <c r="F698"/>
      <c r="G698"/>
      <c r="H698"/>
      <c r="I698"/>
      <c r="J698"/>
      <c r="K698"/>
      <c r="L698"/>
      <c r="M698" s="18" t="s">
        <v>269</v>
      </c>
      <c r="N698" t="s">
        <v>1234</v>
      </c>
      <c r="O698" t="s">
        <v>23</v>
      </c>
      <c r="P698" s="1" t="s">
        <v>30</v>
      </c>
      <c r="Q698" s="13" t="s">
        <v>25</v>
      </c>
      <c r="R698">
        <v>1</v>
      </c>
      <c r="S698">
        <v>5000</v>
      </c>
      <c r="T698"/>
      <c r="U698" s="9"/>
      <c r="V698" s="9"/>
      <c r="W698" s="9"/>
      <c r="X698" s="9"/>
    </row>
    <row r="699" spans="1:24">
      <c r="A699" s="13" t="s">
        <v>19</v>
      </c>
      <c r="B699" s="1"/>
      <c r="C699" s="1" t="s">
        <v>32</v>
      </c>
      <c r="D699" s="3">
        <v>5000</v>
      </c>
      <c r="E699"/>
      <c r="F699"/>
      <c r="G699"/>
      <c r="H699"/>
      <c r="I699"/>
      <c r="J699"/>
      <c r="K699"/>
      <c r="L699"/>
      <c r="M699" s="18" t="s">
        <v>269</v>
      </c>
      <c r="N699" t="s">
        <v>1234</v>
      </c>
      <c r="O699" t="s">
        <v>23</v>
      </c>
      <c r="P699" s="1" t="s">
        <v>733</v>
      </c>
      <c r="Q699" s="13" t="s">
        <v>25</v>
      </c>
      <c r="R699">
        <v>1</v>
      </c>
      <c r="S699">
        <v>5000</v>
      </c>
      <c r="T699"/>
      <c r="U699" s="9"/>
      <c r="V699" s="9"/>
      <c r="W699" s="9"/>
      <c r="X699" s="9"/>
    </row>
    <row r="700" spans="1:24">
      <c r="A700" s="13"/>
      <c r="B700" s="1"/>
      <c r="C700" s="1"/>
      <c r="D700" s="3" t="str">
        <f>SUBTOTAL(9,D692:D699)</f>
        <v>0</v>
      </c>
      <c r="E700"/>
      <c r="F700"/>
      <c r="G700"/>
      <c r="H700"/>
      <c r="I700"/>
      <c r="J700"/>
      <c r="K700"/>
      <c r="L700"/>
      <c r="M700" s="18" t="s">
        <v>270</v>
      </c>
      <c r="N700" t="s">
        <v>1481</v>
      </c>
      <c r="O700" t="s">
        <v>23</v>
      </c>
      <c r="P700" s="1"/>
      <c r="Q700" s="13"/>
      <c r="R700"/>
      <c r="S700"/>
      <c r="T700"/>
      <c r="U700" s="9"/>
      <c r="V700" s="9"/>
      <c r="W700" s="9"/>
      <c r="X700" s="9"/>
    </row>
    <row r="701" spans="1:24">
      <c r="A701" s="13" t="s">
        <v>19</v>
      </c>
      <c r="B701" s="1"/>
      <c r="C701" s="1" t="s">
        <v>20</v>
      </c>
      <c r="D701" s="3">
        <v>96000</v>
      </c>
      <c r="E701"/>
      <c r="F701"/>
      <c r="G701"/>
      <c r="H701"/>
      <c r="I701"/>
      <c r="J701"/>
      <c r="K701"/>
      <c r="L701"/>
      <c r="M701" s="18" t="s">
        <v>271</v>
      </c>
      <c r="N701" t="s">
        <v>1213</v>
      </c>
      <c r="O701" t="s">
        <v>96</v>
      </c>
      <c r="P701" s="1" t="s">
        <v>24</v>
      </c>
      <c r="Q701" s="13" t="s">
        <v>25</v>
      </c>
      <c r="R701">
        <v>3</v>
      </c>
      <c r="S701">
        <v>32000</v>
      </c>
      <c r="T701"/>
      <c r="U701" s="9"/>
      <c r="V701" s="9"/>
      <c r="W701" s="9"/>
      <c r="X701" s="9"/>
    </row>
    <row r="702" spans="1:24">
      <c r="A702" s="13" t="s">
        <v>19</v>
      </c>
      <c r="B702" s="1"/>
      <c r="C702" s="1" t="s">
        <v>26</v>
      </c>
      <c r="D702" s="3">
        <v>32000</v>
      </c>
      <c r="E702"/>
      <c r="F702"/>
      <c r="G702"/>
      <c r="H702"/>
      <c r="I702"/>
      <c r="J702"/>
      <c r="K702"/>
      <c r="L702"/>
      <c r="M702" s="18" t="s">
        <v>271</v>
      </c>
      <c r="N702" t="s">
        <v>1213</v>
      </c>
      <c r="O702" t="s">
        <v>96</v>
      </c>
      <c r="P702" s="1" t="s">
        <v>512</v>
      </c>
      <c r="Q702" s="13" t="s">
        <v>25</v>
      </c>
      <c r="R702">
        <v>1</v>
      </c>
      <c r="S702">
        <v>32000</v>
      </c>
      <c r="T702"/>
      <c r="U702" s="9"/>
      <c r="V702" s="9"/>
      <c r="W702" s="9"/>
      <c r="X702" s="9"/>
    </row>
    <row r="703" spans="1:24">
      <c r="A703" s="13" t="s">
        <v>19</v>
      </c>
      <c r="B703" s="1"/>
      <c r="C703" s="1" t="s">
        <v>26</v>
      </c>
      <c r="D703" s="3">
        <v>74000</v>
      </c>
      <c r="E703"/>
      <c r="F703"/>
      <c r="G703"/>
      <c r="H703"/>
      <c r="I703"/>
      <c r="J703"/>
      <c r="K703"/>
      <c r="L703"/>
      <c r="M703" s="18" t="s">
        <v>271</v>
      </c>
      <c r="N703" t="s">
        <v>1213</v>
      </c>
      <c r="O703" t="s">
        <v>96</v>
      </c>
      <c r="P703" s="1" t="s">
        <v>734</v>
      </c>
      <c r="Q703" s="13" t="s">
        <v>25</v>
      </c>
      <c r="R703">
        <v>2</v>
      </c>
      <c r="S703">
        <v>37000</v>
      </c>
      <c r="T703"/>
      <c r="U703" s="9"/>
      <c r="V703" s="9"/>
      <c r="W703" s="9"/>
      <c r="X703" s="9"/>
    </row>
    <row r="704" spans="1:24">
      <c r="A704" s="13" t="s">
        <v>19</v>
      </c>
      <c r="B704" s="1"/>
      <c r="C704" s="1" t="s">
        <v>29</v>
      </c>
      <c r="D704" s="3">
        <v>15000</v>
      </c>
      <c r="E704"/>
      <c r="F704"/>
      <c r="G704"/>
      <c r="H704"/>
      <c r="I704"/>
      <c r="J704"/>
      <c r="K704"/>
      <c r="L704"/>
      <c r="M704" s="18" t="s">
        <v>271</v>
      </c>
      <c r="N704" t="s">
        <v>1213</v>
      </c>
      <c r="O704" t="s">
        <v>96</v>
      </c>
      <c r="P704" s="1" t="s">
        <v>30</v>
      </c>
      <c r="Q704" s="13" t="s">
        <v>25</v>
      </c>
      <c r="R704">
        <v>3</v>
      </c>
      <c r="S704">
        <v>5000</v>
      </c>
      <c r="T704"/>
      <c r="U704" s="9"/>
      <c r="V704" s="9"/>
      <c r="W704" s="9"/>
      <c r="X704" s="9"/>
    </row>
    <row r="705" spans="1:24">
      <c r="A705" s="13" t="s">
        <v>19</v>
      </c>
      <c r="B705" s="1"/>
      <c r="C705" s="1" t="s">
        <v>32</v>
      </c>
      <c r="D705" s="3">
        <v>5000</v>
      </c>
      <c r="E705"/>
      <c r="F705"/>
      <c r="G705"/>
      <c r="H705"/>
      <c r="I705"/>
      <c r="J705"/>
      <c r="K705"/>
      <c r="L705"/>
      <c r="M705" s="18" t="s">
        <v>271</v>
      </c>
      <c r="N705" t="s">
        <v>1213</v>
      </c>
      <c r="O705" t="s">
        <v>96</v>
      </c>
      <c r="P705" s="1" t="s">
        <v>515</v>
      </c>
      <c r="Q705" s="13" t="s">
        <v>25</v>
      </c>
      <c r="R705">
        <v>1</v>
      </c>
      <c r="S705">
        <v>5000</v>
      </c>
      <c r="T705"/>
      <c r="U705" s="9"/>
      <c r="V705" s="9"/>
      <c r="W705" s="9"/>
      <c r="X705" s="9"/>
    </row>
    <row r="706" spans="1:24">
      <c r="A706" s="13" t="s">
        <v>19</v>
      </c>
      <c r="B706" s="1"/>
      <c r="C706" s="1" t="s">
        <v>32</v>
      </c>
      <c r="D706" s="3">
        <v>10000</v>
      </c>
      <c r="E706"/>
      <c r="F706"/>
      <c r="G706"/>
      <c r="H706"/>
      <c r="I706"/>
      <c r="J706"/>
      <c r="K706"/>
      <c r="L706"/>
      <c r="M706" s="18" t="s">
        <v>271</v>
      </c>
      <c r="N706" t="s">
        <v>1213</v>
      </c>
      <c r="O706" t="s">
        <v>96</v>
      </c>
      <c r="P706" s="1" t="s">
        <v>735</v>
      </c>
      <c r="Q706" s="13" t="s">
        <v>25</v>
      </c>
      <c r="R706">
        <v>2</v>
      </c>
      <c r="S706">
        <v>5000</v>
      </c>
      <c r="T706"/>
      <c r="U706" s="9"/>
      <c r="V706" s="9"/>
      <c r="W706" s="9"/>
      <c r="X706" s="9"/>
    </row>
    <row r="707" spans="1:24">
      <c r="A707" s="13"/>
      <c r="B707" s="1"/>
      <c r="C707" s="1"/>
      <c r="D707" s="3" t="str">
        <f>SUBTOTAL(9,D701:D706)</f>
        <v>0</v>
      </c>
      <c r="E707"/>
      <c r="F707"/>
      <c r="G707"/>
      <c r="H707"/>
      <c r="I707"/>
      <c r="J707"/>
      <c r="K707"/>
      <c r="L707"/>
      <c r="M707" s="18" t="s">
        <v>272</v>
      </c>
      <c r="N707" t="s">
        <v>1482</v>
      </c>
      <c r="O707" t="s">
        <v>96</v>
      </c>
      <c r="P707" s="1"/>
      <c r="Q707" s="13"/>
      <c r="R707"/>
      <c r="S707"/>
      <c r="T707"/>
      <c r="U707" s="9"/>
      <c r="V707" s="9"/>
      <c r="W707" s="9"/>
      <c r="X707" s="9"/>
    </row>
    <row r="708" spans="1:24">
      <c r="A708" s="13" t="s">
        <v>19</v>
      </c>
      <c r="B708" s="1"/>
      <c r="C708" s="1" t="s">
        <v>20</v>
      </c>
      <c r="D708" s="3">
        <v>58000</v>
      </c>
      <c r="E708"/>
      <c r="F708"/>
      <c r="G708"/>
      <c r="H708"/>
      <c r="I708"/>
      <c r="J708"/>
      <c r="K708"/>
      <c r="L708"/>
      <c r="M708" s="18" t="s">
        <v>273</v>
      </c>
      <c r="N708" t="s">
        <v>1139</v>
      </c>
      <c r="O708" t="s">
        <v>94</v>
      </c>
      <c r="P708" s="1" t="s">
        <v>24</v>
      </c>
      <c r="Q708" s="13" t="s">
        <v>25</v>
      </c>
      <c r="R708">
        <v>2</v>
      </c>
      <c r="S708">
        <v>29000</v>
      </c>
      <c r="T708"/>
      <c r="U708" s="9"/>
      <c r="V708" s="9"/>
      <c r="W708" s="9"/>
      <c r="X708" s="9"/>
    </row>
    <row r="709" spans="1:24">
      <c r="A709" s="13" t="s">
        <v>19</v>
      </c>
      <c r="B709" s="1"/>
      <c r="C709" s="1" t="s">
        <v>20</v>
      </c>
      <c r="D709" s="3">
        <v>87000</v>
      </c>
      <c r="E709"/>
      <c r="F709"/>
      <c r="G709"/>
      <c r="H709"/>
      <c r="I709"/>
      <c r="J709"/>
      <c r="K709"/>
      <c r="L709"/>
      <c r="M709" s="18" t="s">
        <v>273</v>
      </c>
      <c r="N709" t="s">
        <v>1139</v>
      </c>
      <c r="O709" t="s">
        <v>94</v>
      </c>
      <c r="P709" s="1" t="s">
        <v>24</v>
      </c>
      <c r="Q709" s="13" t="s">
        <v>25</v>
      </c>
      <c r="R709">
        <v>3</v>
      </c>
      <c r="S709">
        <v>29000</v>
      </c>
      <c r="T709"/>
      <c r="U709" s="9"/>
      <c r="V709" s="9"/>
      <c r="W709" s="9"/>
      <c r="X709" s="9"/>
    </row>
    <row r="710" spans="1:24">
      <c r="A710" s="13" t="s">
        <v>19</v>
      </c>
      <c r="B710" s="1"/>
      <c r="C710" s="1" t="s">
        <v>20</v>
      </c>
      <c r="D710" s="3">
        <v>29000</v>
      </c>
      <c r="E710"/>
      <c r="F710"/>
      <c r="G710"/>
      <c r="H710"/>
      <c r="I710"/>
      <c r="J710"/>
      <c r="K710"/>
      <c r="L710"/>
      <c r="M710" s="18" t="s">
        <v>273</v>
      </c>
      <c r="N710" t="s">
        <v>1139</v>
      </c>
      <c r="O710" t="s">
        <v>94</v>
      </c>
      <c r="P710" s="1" t="s">
        <v>24</v>
      </c>
      <c r="Q710" s="13" t="s">
        <v>25</v>
      </c>
      <c r="R710">
        <v>1</v>
      </c>
      <c r="S710">
        <v>29000</v>
      </c>
      <c r="T710"/>
      <c r="U710" s="9"/>
      <c r="V710" s="9"/>
      <c r="W710" s="9"/>
      <c r="X710" s="9"/>
    </row>
    <row r="711" spans="1:24">
      <c r="A711" s="13" t="s">
        <v>19</v>
      </c>
      <c r="B711" s="1"/>
      <c r="C711" s="1" t="s">
        <v>29</v>
      </c>
      <c r="D711" s="3">
        <v>10000</v>
      </c>
      <c r="E711"/>
      <c r="F711"/>
      <c r="G711"/>
      <c r="H711"/>
      <c r="I711"/>
      <c r="J711"/>
      <c r="K711"/>
      <c r="L711"/>
      <c r="M711" s="18" t="s">
        <v>273</v>
      </c>
      <c r="N711" t="s">
        <v>1139</v>
      </c>
      <c r="O711" t="s">
        <v>94</v>
      </c>
      <c r="P711" s="1" t="s">
        <v>30</v>
      </c>
      <c r="Q711" s="13" t="s">
        <v>25</v>
      </c>
      <c r="R711">
        <v>2</v>
      </c>
      <c r="S711">
        <v>5000</v>
      </c>
      <c r="T711"/>
      <c r="U711" s="9"/>
      <c r="V711" s="9"/>
      <c r="W711" s="9"/>
      <c r="X711" s="9"/>
    </row>
    <row r="712" spans="1:24">
      <c r="A712" s="13" t="s">
        <v>19</v>
      </c>
      <c r="B712" s="1"/>
      <c r="C712" s="1" t="s">
        <v>29</v>
      </c>
      <c r="D712" s="3">
        <v>15000</v>
      </c>
      <c r="E712"/>
      <c r="F712"/>
      <c r="G712"/>
      <c r="H712"/>
      <c r="I712"/>
      <c r="J712"/>
      <c r="K712"/>
      <c r="L712"/>
      <c r="M712" s="18" t="s">
        <v>273</v>
      </c>
      <c r="N712" t="s">
        <v>1139</v>
      </c>
      <c r="O712" t="s">
        <v>94</v>
      </c>
      <c r="P712" s="1" t="s">
        <v>30</v>
      </c>
      <c r="Q712" s="13" t="s">
        <v>25</v>
      </c>
      <c r="R712">
        <v>3</v>
      </c>
      <c r="S712">
        <v>5000</v>
      </c>
      <c r="T712"/>
      <c r="U712" s="9"/>
      <c r="V712" s="9"/>
      <c r="W712" s="9"/>
      <c r="X712" s="9"/>
    </row>
    <row r="713" spans="1:24">
      <c r="A713" s="13" t="s">
        <v>19</v>
      </c>
      <c r="B713" s="1"/>
      <c r="C713" s="1" t="s">
        <v>29</v>
      </c>
      <c r="D713" s="3">
        <v>5000</v>
      </c>
      <c r="E713"/>
      <c r="F713"/>
      <c r="G713"/>
      <c r="H713"/>
      <c r="I713"/>
      <c r="J713"/>
      <c r="K713"/>
      <c r="L713"/>
      <c r="M713" s="18" t="s">
        <v>273</v>
      </c>
      <c r="N713" t="s">
        <v>1139</v>
      </c>
      <c r="O713" t="s">
        <v>94</v>
      </c>
      <c r="P713" s="1" t="s">
        <v>30</v>
      </c>
      <c r="Q713" s="13" t="s">
        <v>25</v>
      </c>
      <c r="R713">
        <v>1</v>
      </c>
      <c r="S713">
        <v>5000</v>
      </c>
      <c r="T713"/>
      <c r="U713" s="9"/>
      <c r="V713" s="9"/>
      <c r="W713" s="9"/>
      <c r="X713" s="9"/>
    </row>
    <row r="714" spans="1:24">
      <c r="A714" s="13"/>
      <c r="B714" s="1"/>
      <c r="C714" s="1"/>
      <c r="D714" s="3" t="str">
        <f>SUBTOTAL(9,D708:D713)</f>
        <v>0</v>
      </c>
      <c r="E714"/>
      <c r="F714"/>
      <c r="G714"/>
      <c r="H714"/>
      <c r="I714"/>
      <c r="J714"/>
      <c r="K714"/>
      <c r="L714"/>
      <c r="M714" s="18" t="s">
        <v>274</v>
      </c>
      <c r="N714" t="s">
        <v>1483</v>
      </c>
      <c r="O714" t="s">
        <v>94</v>
      </c>
      <c r="P714" s="1"/>
      <c r="Q714" s="13"/>
      <c r="R714"/>
      <c r="S714"/>
      <c r="T714"/>
      <c r="U714" s="9"/>
      <c r="V714" s="9"/>
      <c r="W714" s="9"/>
      <c r="X714" s="9"/>
    </row>
    <row r="715" spans="1:24">
      <c r="A715" s="13" t="s">
        <v>19</v>
      </c>
      <c r="B715" s="1"/>
      <c r="C715" s="1" t="s">
        <v>20</v>
      </c>
      <c r="D715" s="3">
        <v>128000</v>
      </c>
      <c r="E715"/>
      <c r="F715"/>
      <c r="G715"/>
      <c r="H715"/>
      <c r="I715"/>
      <c r="J715"/>
      <c r="K715"/>
      <c r="L715"/>
      <c r="M715" s="18" t="s">
        <v>275</v>
      </c>
      <c r="N715" t="s">
        <v>1298</v>
      </c>
      <c r="O715" t="s">
        <v>96</v>
      </c>
      <c r="P715" s="1" t="s">
        <v>560</v>
      </c>
      <c r="Q715" s="13" t="s">
        <v>25</v>
      </c>
      <c r="R715">
        <v>4</v>
      </c>
      <c r="S715">
        <v>32000</v>
      </c>
      <c r="T715"/>
      <c r="U715" s="9"/>
      <c r="V715" s="9"/>
      <c r="W715" s="9"/>
      <c r="X715" s="9"/>
    </row>
    <row r="716" spans="1:24">
      <c r="A716" s="13" t="s">
        <v>19</v>
      </c>
      <c r="B716" s="1"/>
      <c r="C716" s="1" t="s">
        <v>20</v>
      </c>
      <c r="D716" s="3">
        <v>64000</v>
      </c>
      <c r="E716"/>
      <c r="F716"/>
      <c r="G716"/>
      <c r="H716"/>
      <c r="I716"/>
      <c r="J716"/>
      <c r="K716"/>
      <c r="L716"/>
      <c r="M716" s="18" t="s">
        <v>275</v>
      </c>
      <c r="N716" t="s">
        <v>1298</v>
      </c>
      <c r="O716" t="s">
        <v>96</v>
      </c>
      <c r="P716" s="1" t="s">
        <v>527</v>
      </c>
      <c r="Q716" s="13" t="s">
        <v>25</v>
      </c>
      <c r="R716">
        <v>2</v>
      </c>
      <c r="S716">
        <v>32000</v>
      </c>
      <c r="T716"/>
      <c r="U716" s="9"/>
      <c r="V716" s="9"/>
      <c r="W716" s="9"/>
      <c r="X716" s="9"/>
    </row>
    <row r="717" spans="1:24">
      <c r="A717" s="13" t="s">
        <v>19</v>
      </c>
      <c r="B717" s="1"/>
      <c r="C717" s="1" t="s">
        <v>20</v>
      </c>
      <c r="D717" s="3">
        <v>128000</v>
      </c>
      <c r="E717"/>
      <c r="F717"/>
      <c r="G717"/>
      <c r="H717"/>
      <c r="I717"/>
      <c r="J717"/>
      <c r="K717"/>
      <c r="L717"/>
      <c r="M717" s="18" t="s">
        <v>275</v>
      </c>
      <c r="N717" t="s">
        <v>1298</v>
      </c>
      <c r="O717" t="s">
        <v>96</v>
      </c>
      <c r="P717" s="1" t="s">
        <v>545</v>
      </c>
      <c r="Q717" s="13" t="s">
        <v>25</v>
      </c>
      <c r="R717">
        <v>4</v>
      </c>
      <c r="S717">
        <v>32000</v>
      </c>
      <c r="T717"/>
      <c r="U717" s="9"/>
      <c r="V717" s="9"/>
      <c r="W717" s="9"/>
      <c r="X717" s="9"/>
    </row>
    <row r="718" spans="1:24">
      <c r="A718" s="13" t="s">
        <v>19</v>
      </c>
      <c r="B718" s="1"/>
      <c r="C718" s="1" t="s">
        <v>20</v>
      </c>
      <c r="D718" s="3">
        <v>192000</v>
      </c>
      <c r="E718"/>
      <c r="F718"/>
      <c r="G718"/>
      <c r="H718"/>
      <c r="I718"/>
      <c r="J718"/>
      <c r="K718"/>
      <c r="L718"/>
      <c r="M718" s="18" t="s">
        <v>275</v>
      </c>
      <c r="N718" t="s">
        <v>1298</v>
      </c>
      <c r="O718" t="s">
        <v>96</v>
      </c>
      <c r="P718" s="1" t="s">
        <v>736</v>
      </c>
      <c r="Q718" s="13" t="s">
        <v>25</v>
      </c>
      <c r="R718">
        <v>6</v>
      </c>
      <c r="S718">
        <v>32000</v>
      </c>
      <c r="T718"/>
      <c r="U718" s="9"/>
      <c r="V718" s="9"/>
      <c r="W718" s="9"/>
      <c r="X718" s="9"/>
    </row>
    <row r="719" spans="1:24">
      <c r="A719" s="13" t="s">
        <v>19</v>
      </c>
      <c r="B719" s="1"/>
      <c r="C719" s="1" t="s">
        <v>20</v>
      </c>
      <c r="D719" s="3">
        <v>96000</v>
      </c>
      <c r="E719"/>
      <c r="F719"/>
      <c r="G719"/>
      <c r="H719"/>
      <c r="I719"/>
      <c r="J719"/>
      <c r="K719"/>
      <c r="L719"/>
      <c r="M719" s="18" t="s">
        <v>275</v>
      </c>
      <c r="N719" t="s">
        <v>1298</v>
      </c>
      <c r="O719" t="s">
        <v>96</v>
      </c>
      <c r="P719" s="1" t="s">
        <v>737</v>
      </c>
      <c r="Q719" s="13" t="s">
        <v>25</v>
      </c>
      <c r="R719">
        <v>3</v>
      </c>
      <c r="S719">
        <v>32000</v>
      </c>
      <c r="T719"/>
      <c r="U719" s="9"/>
      <c r="V719" s="9"/>
      <c r="W719" s="9"/>
      <c r="X719" s="9"/>
    </row>
    <row r="720" spans="1:24">
      <c r="A720" s="13" t="s">
        <v>19</v>
      </c>
      <c r="B720" s="1"/>
      <c r="C720" s="1" t="s">
        <v>29</v>
      </c>
      <c r="D720" s="3">
        <v>20000</v>
      </c>
      <c r="E720"/>
      <c r="F720"/>
      <c r="G720"/>
      <c r="H720"/>
      <c r="I720"/>
      <c r="J720"/>
      <c r="K720"/>
      <c r="L720"/>
      <c r="M720" s="18" t="s">
        <v>275</v>
      </c>
      <c r="N720" t="s">
        <v>1298</v>
      </c>
      <c r="O720" t="s">
        <v>96</v>
      </c>
      <c r="P720" s="1" t="s">
        <v>562</v>
      </c>
      <c r="Q720" s="13" t="s">
        <v>25</v>
      </c>
      <c r="R720">
        <v>4</v>
      </c>
      <c r="S720">
        <v>5000</v>
      </c>
      <c r="T720"/>
      <c r="U720" s="9"/>
      <c r="V720" s="9"/>
      <c r="W720" s="9"/>
      <c r="X720" s="9"/>
    </row>
    <row r="721" spans="1:24">
      <c r="A721" s="13" t="s">
        <v>19</v>
      </c>
      <c r="B721" s="1"/>
      <c r="C721" s="1" t="s">
        <v>29</v>
      </c>
      <c r="D721" s="3">
        <v>10000</v>
      </c>
      <c r="E721"/>
      <c r="F721"/>
      <c r="G721"/>
      <c r="H721"/>
      <c r="I721"/>
      <c r="J721"/>
      <c r="K721"/>
      <c r="L721"/>
      <c r="M721" s="18" t="s">
        <v>275</v>
      </c>
      <c r="N721" t="s">
        <v>1298</v>
      </c>
      <c r="O721" t="s">
        <v>96</v>
      </c>
      <c r="P721" s="1" t="s">
        <v>529</v>
      </c>
      <c r="Q721" s="13" t="s">
        <v>25</v>
      </c>
      <c r="R721">
        <v>2</v>
      </c>
      <c r="S721">
        <v>5000</v>
      </c>
      <c r="T721"/>
      <c r="U721" s="9"/>
      <c r="V721" s="9"/>
      <c r="W721" s="9"/>
      <c r="X721" s="9"/>
    </row>
    <row r="722" spans="1:24">
      <c r="A722" s="13" t="s">
        <v>19</v>
      </c>
      <c r="B722" s="1"/>
      <c r="C722" s="1" t="s">
        <v>29</v>
      </c>
      <c r="D722" s="3">
        <v>20000</v>
      </c>
      <c r="E722"/>
      <c r="F722"/>
      <c r="G722"/>
      <c r="H722"/>
      <c r="I722"/>
      <c r="J722"/>
      <c r="K722"/>
      <c r="L722"/>
      <c r="M722" s="18" t="s">
        <v>275</v>
      </c>
      <c r="N722" t="s">
        <v>1298</v>
      </c>
      <c r="O722" t="s">
        <v>96</v>
      </c>
      <c r="P722" s="1" t="s">
        <v>550</v>
      </c>
      <c r="Q722" s="13" t="s">
        <v>25</v>
      </c>
      <c r="R722">
        <v>4</v>
      </c>
      <c r="S722">
        <v>5000</v>
      </c>
      <c r="T722"/>
      <c r="U722" s="9"/>
      <c r="V722" s="9"/>
      <c r="W722" s="9"/>
      <c r="X722" s="9"/>
    </row>
    <row r="723" spans="1:24">
      <c r="A723" s="13" t="s">
        <v>19</v>
      </c>
      <c r="B723" s="1"/>
      <c r="C723" s="1" t="s">
        <v>29</v>
      </c>
      <c r="D723" s="3">
        <v>30000</v>
      </c>
      <c r="E723"/>
      <c r="F723"/>
      <c r="G723"/>
      <c r="H723"/>
      <c r="I723"/>
      <c r="J723"/>
      <c r="K723"/>
      <c r="L723"/>
      <c r="M723" s="18" t="s">
        <v>275</v>
      </c>
      <c r="N723" t="s">
        <v>1298</v>
      </c>
      <c r="O723" t="s">
        <v>96</v>
      </c>
      <c r="P723" s="1" t="s">
        <v>738</v>
      </c>
      <c r="Q723" s="13" t="s">
        <v>25</v>
      </c>
      <c r="R723">
        <v>6</v>
      </c>
      <c r="S723">
        <v>5000</v>
      </c>
      <c r="T723"/>
      <c r="U723" s="9"/>
      <c r="V723" s="9"/>
      <c r="W723" s="9"/>
      <c r="X723" s="9"/>
    </row>
    <row r="724" spans="1:24">
      <c r="A724" s="13" t="s">
        <v>19</v>
      </c>
      <c r="B724" s="1"/>
      <c r="C724" s="1" t="s">
        <v>29</v>
      </c>
      <c r="D724" s="3">
        <v>15000</v>
      </c>
      <c r="E724"/>
      <c r="F724"/>
      <c r="G724"/>
      <c r="H724"/>
      <c r="I724"/>
      <c r="J724"/>
      <c r="K724"/>
      <c r="L724"/>
      <c r="M724" s="18" t="s">
        <v>275</v>
      </c>
      <c r="N724" t="s">
        <v>1298</v>
      </c>
      <c r="O724" t="s">
        <v>96</v>
      </c>
      <c r="P724" s="1" t="s">
        <v>739</v>
      </c>
      <c r="Q724" s="13" t="s">
        <v>25</v>
      </c>
      <c r="R724">
        <v>3</v>
      </c>
      <c r="S724">
        <v>5000</v>
      </c>
      <c r="T724"/>
      <c r="U724" s="9"/>
      <c r="V724" s="9"/>
      <c r="W724" s="9"/>
      <c r="X724" s="9"/>
    </row>
    <row r="725" spans="1:24">
      <c r="A725" s="13"/>
      <c r="B725" s="1"/>
      <c r="C725" s="1"/>
      <c r="D725" s="3" t="str">
        <f>SUBTOTAL(9,D715:D724)</f>
        <v>0</v>
      </c>
      <c r="E725"/>
      <c r="F725"/>
      <c r="G725"/>
      <c r="H725"/>
      <c r="I725"/>
      <c r="J725"/>
      <c r="K725"/>
      <c r="L725"/>
      <c r="M725" s="18" t="s">
        <v>276</v>
      </c>
      <c r="N725" t="s">
        <v>1484</v>
      </c>
      <c r="O725" t="s">
        <v>96</v>
      </c>
      <c r="P725" s="1"/>
      <c r="Q725" s="13"/>
      <c r="R725"/>
      <c r="S725"/>
      <c r="T725"/>
      <c r="U725" s="9"/>
      <c r="V725" s="9"/>
      <c r="W725" s="9"/>
      <c r="X725" s="9"/>
    </row>
    <row r="726" spans="1:24">
      <c r="A726" s="13" t="s">
        <v>19</v>
      </c>
      <c r="B726" s="1"/>
      <c r="C726" s="1" t="s">
        <v>20</v>
      </c>
      <c r="D726" s="3">
        <v>128000</v>
      </c>
      <c r="E726"/>
      <c r="F726"/>
      <c r="G726"/>
      <c r="H726"/>
      <c r="I726"/>
      <c r="J726"/>
      <c r="K726"/>
      <c r="L726"/>
      <c r="M726" s="18" t="s">
        <v>277</v>
      </c>
      <c r="N726" t="s">
        <v>1354</v>
      </c>
      <c r="O726" t="s">
        <v>94</v>
      </c>
      <c r="P726" s="1" t="s">
        <v>740</v>
      </c>
      <c r="Q726" s="13" t="s">
        <v>25</v>
      </c>
      <c r="R726">
        <v>4</v>
      </c>
      <c r="S726">
        <v>32000</v>
      </c>
      <c r="T726"/>
      <c r="U726" s="9"/>
      <c r="V726" s="9"/>
      <c r="W726" s="9"/>
      <c r="X726" s="9"/>
    </row>
    <row r="727" spans="1:24">
      <c r="A727" s="13" t="s">
        <v>19</v>
      </c>
      <c r="B727" s="1"/>
      <c r="C727" s="1" t="s">
        <v>20</v>
      </c>
      <c r="D727" s="3">
        <v>96000</v>
      </c>
      <c r="E727"/>
      <c r="F727"/>
      <c r="G727"/>
      <c r="H727"/>
      <c r="I727"/>
      <c r="J727"/>
      <c r="K727"/>
      <c r="L727"/>
      <c r="M727" s="18" t="s">
        <v>277</v>
      </c>
      <c r="N727" t="s">
        <v>1354</v>
      </c>
      <c r="O727" t="s">
        <v>94</v>
      </c>
      <c r="P727" s="1" t="s">
        <v>741</v>
      </c>
      <c r="Q727" s="13" t="s">
        <v>25</v>
      </c>
      <c r="R727">
        <v>3</v>
      </c>
      <c r="S727">
        <v>32000</v>
      </c>
      <c r="T727"/>
      <c r="U727" s="9"/>
      <c r="V727" s="9"/>
      <c r="W727" s="9"/>
      <c r="X727" s="9"/>
    </row>
    <row r="728" spans="1:24">
      <c r="A728" s="13" t="s">
        <v>19</v>
      </c>
      <c r="B728" s="1"/>
      <c r="C728" s="1" t="s">
        <v>20</v>
      </c>
      <c r="D728" s="3">
        <v>128000</v>
      </c>
      <c r="E728"/>
      <c r="F728"/>
      <c r="G728"/>
      <c r="H728"/>
      <c r="I728"/>
      <c r="J728"/>
      <c r="K728"/>
      <c r="L728"/>
      <c r="M728" s="18" t="s">
        <v>277</v>
      </c>
      <c r="N728" t="s">
        <v>1354</v>
      </c>
      <c r="O728" t="s">
        <v>94</v>
      </c>
      <c r="P728" s="1" t="s">
        <v>725</v>
      </c>
      <c r="Q728" s="13" t="s">
        <v>25</v>
      </c>
      <c r="R728">
        <v>4</v>
      </c>
      <c r="S728">
        <v>32000</v>
      </c>
      <c r="T728"/>
      <c r="U728" s="9"/>
      <c r="V728" s="9"/>
      <c r="W728" s="9"/>
      <c r="X728" s="9"/>
    </row>
    <row r="729" spans="1:24">
      <c r="A729" s="13" t="s">
        <v>19</v>
      </c>
      <c r="B729" s="1"/>
      <c r="C729" s="1" t="s">
        <v>29</v>
      </c>
      <c r="D729" s="3">
        <v>20000</v>
      </c>
      <c r="E729"/>
      <c r="F729"/>
      <c r="G729"/>
      <c r="H729"/>
      <c r="I729"/>
      <c r="J729"/>
      <c r="K729"/>
      <c r="L729"/>
      <c r="M729" s="18" t="s">
        <v>277</v>
      </c>
      <c r="N729" t="s">
        <v>1354</v>
      </c>
      <c r="O729" t="s">
        <v>94</v>
      </c>
      <c r="P729" s="1" t="s">
        <v>742</v>
      </c>
      <c r="Q729" s="13" t="s">
        <v>25</v>
      </c>
      <c r="R729">
        <v>4</v>
      </c>
      <c r="S729">
        <v>5000</v>
      </c>
      <c r="T729"/>
      <c r="U729" s="9"/>
      <c r="V729" s="9"/>
      <c r="W729" s="9"/>
      <c r="X729" s="9"/>
    </row>
    <row r="730" spans="1:24">
      <c r="A730" s="13" t="s">
        <v>19</v>
      </c>
      <c r="B730" s="1"/>
      <c r="C730" s="1" t="s">
        <v>29</v>
      </c>
      <c r="D730" s="3">
        <v>15000</v>
      </c>
      <c r="E730"/>
      <c r="F730"/>
      <c r="G730"/>
      <c r="H730"/>
      <c r="I730"/>
      <c r="J730"/>
      <c r="K730"/>
      <c r="L730"/>
      <c r="M730" s="18" t="s">
        <v>277</v>
      </c>
      <c r="N730" t="s">
        <v>1354</v>
      </c>
      <c r="O730" t="s">
        <v>94</v>
      </c>
      <c r="P730" s="1" t="s">
        <v>743</v>
      </c>
      <c r="Q730" s="13" t="s">
        <v>25</v>
      </c>
      <c r="R730">
        <v>3</v>
      </c>
      <c r="S730">
        <v>5000</v>
      </c>
      <c r="T730"/>
      <c r="U730" s="9"/>
      <c r="V730" s="9"/>
      <c r="W730" s="9"/>
      <c r="X730" s="9"/>
    </row>
    <row r="731" spans="1:24">
      <c r="A731" s="13" t="s">
        <v>19</v>
      </c>
      <c r="B731" s="1"/>
      <c r="C731" s="1" t="s">
        <v>29</v>
      </c>
      <c r="D731" s="3">
        <v>20000</v>
      </c>
      <c r="E731"/>
      <c r="F731"/>
      <c r="G731"/>
      <c r="H731"/>
      <c r="I731"/>
      <c r="J731"/>
      <c r="K731"/>
      <c r="L731"/>
      <c r="M731" s="18" t="s">
        <v>277</v>
      </c>
      <c r="N731" t="s">
        <v>1354</v>
      </c>
      <c r="O731" t="s">
        <v>94</v>
      </c>
      <c r="P731" s="1" t="s">
        <v>727</v>
      </c>
      <c r="Q731" s="13" t="s">
        <v>25</v>
      </c>
      <c r="R731">
        <v>4</v>
      </c>
      <c r="S731">
        <v>5000</v>
      </c>
      <c r="T731"/>
      <c r="U731" s="9"/>
      <c r="V731" s="9"/>
      <c r="W731" s="9"/>
      <c r="X731" s="9"/>
    </row>
    <row r="732" spans="1:24">
      <c r="A732" s="13"/>
      <c r="B732" s="1"/>
      <c r="C732" s="1"/>
      <c r="D732" s="3" t="str">
        <f>SUBTOTAL(9,D726:D731)</f>
        <v>0</v>
      </c>
      <c r="E732"/>
      <c r="F732"/>
      <c r="G732"/>
      <c r="H732"/>
      <c r="I732"/>
      <c r="J732"/>
      <c r="K732"/>
      <c r="L732"/>
      <c r="M732" s="18" t="s">
        <v>278</v>
      </c>
      <c r="N732" t="s">
        <v>1485</v>
      </c>
      <c r="O732" t="s">
        <v>94</v>
      </c>
      <c r="P732" s="1"/>
      <c r="Q732" s="13"/>
      <c r="R732"/>
      <c r="S732"/>
      <c r="T732"/>
      <c r="U732" s="9"/>
      <c r="V732" s="9"/>
      <c r="W732" s="9"/>
      <c r="X732" s="9"/>
    </row>
    <row r="733" spans="1:24">
      <c r="A733" s="13" t="s">
        <v>19</v>
      </c>
      <c r="B733" s="1"/>
      <c r="C733" s="1" t="s">
        <v>20</v>
      </c>
      <c r="D733" s="3">
        <v>64000</v>
      </c>
      <c r="E733"/>
      <c r="F733"/>
      <c r="G733"/>
      <c r="H733"/>
      <c r="I733"/>
      <c r="J733"/>
      <c r="K733"/>
      <c r="L733"/>
      <c r="M733" s="18" t="s">
        <v>279</v>
      </c>
      <c r="N733" t="s">
        <v>279</v>
      </c>
      <c r="O733" t="s">
        <v>96</v>
      </c>
      <c r="P733" s="1" t="s">
        <v>24</v>
      </c>
      <c r="Q733" s="13" t="s">
        <v>25</v>
      </c>
      <c r="R733">
        <v>2</v>
      </c>
      <c r="S733">
        <v>32000</v>
      </c>
      <c r="T733"/>
      <c r="U733" s="9"/>
      <c r="V733" s="9"/>
      <c r="W733" s="9"/>
      <c r="X733" s="9"/>
    </row>
    <row r="734" spans="1:24">
      <c r="A734" s="13" t="s">
        <v>19</v>
      </c>
      <c r="B734" s="1"/>
      <c r="C734" s="1" t="s">
        <v>26</v>
      </c>
      <c r="D734" s="3">
        <v>32000</v>
      </c>
      <c r="E734"/>
      <c r="F734"/>
      <c r="G734"/>
      <c r="H734"/>
      <c r="I734"/>
      <c r="J734"/>
      <c r="K734"/>
      <c r="L734"/>
      <c r="M734" s="18" t="s">
        <v>279</v>
      </c>
      <c r="N734" t="s">
        <v>279</v>
      </c>
      <c r="O734" t="s">
        <v>96</v>
      </c>
      <c r="P734" s="1" t="s">
        <v>512</v>
      </c>
      <c r="Q734" s="13" t="s">
        <v>25</v>
      </c>
      <c r="R734">
        <v>1</v>
      </c>
      <c r="S734">
        <v>32000</v>
      </c>
      <c r="T734"/>
      <c r="U734" s="9"/>
      <c r="V734" s="9"/>
      <c r="W734" s="9"/>
      <c r="X734" s="9"/>
    </row>
    <row r="735" spans="1:24">
      <c r="A735" s="13" t="s">
        <v>19</v>
      </c>
      <c r="B735" s="1"/>
      <c r="C735" s="1" t="s">
        <v>29</v>
      </c>
      <c r="D735" s="3">
        <v>10000</v>
      </c>
      <c r="E735"/>
      <c r="F735"/>
      <c r="G735"/>
      <c r="H735"/>
      <c r="I735"/>
      <c r="J735"/>
      <c r="K735"/>
      <c r="L735"/>
      <c r="M735" s="18" t="s">
        <v>279</v>
      </c>
      <c r="N735" t="s">
        <v>279</v>
      </c>
      <c r="O735" t="s">
        <v>96</v>
      </c>
      <c r="P735" s="1" t="s">
        <v>30</v>
      </c>
      <c r="Q735" s="13" t="s">
        <v>25</v>
      </c>
      <c r="R735">
        <v>2</v>
      </c>
      <c r="S735">
        <v>5000</v>
      </c>
      <c r="T735"/>
      <c r="U735" s="9"/>
      <c r="V735" s="9"/>
      <c r="W735" s="9"/>
      <c r="X735" s="9"/>
    </row>
    <row r="736" spans="1:24">
      <c r="A736" s="13" t="s">
        <v>19</v>
      </c>
      <c r="B736" s="1"/>
      <c r="C736" s="1" t="s">
        <v>32</v>
      </c>
      <c r="D736" s="3">
        <v>5000</v>
      </c>
      <c r="E736"/>
      <c r="F736"/>
      <c r="G736"/>
      <c r="H736"/>
      <c r="I736"/>
      <c r="J736"/>
      <c r="K736"/>
      <c r="L736"/>
      <c r="M736" s="18" t="s">
        <v>279</v>
      </c>
      <c r="N736" t="s">
        <v>279</v>
      </c>
      <c r="O736" t="s">
        <v>96</v>
      </c>
      <c r="P736" s="1" t="s">
        <v>515</v>
      </c>
      <c r="Q736" s="13" t="s">
        <v>25</v>
      </c>
      <c r="R736">
        <v>1</v>
      </c>
      <c r="S736">
        <v>5000</v>
      </c>
      <c r="T736"/>
      <c r="U736" s="9"/>
      <c r="V736" s="9"/>
      <c r="W736" s="9"/>
      <c r="X736" s="9"/>
    </row>
    <row r="737" spans="1:24">
      <c r="A737" s="13"/>
      <c r="B737" s="1"/>
      <c r="C737" s="1"/>
      <c r="D737" s="3" t="str">
        <f>SUBTOTAL(9,D733:D736)</f>
        <v>0</v>
      </c>
      <c r="E737"/>
      <c r="F737"/>
      <c r="G737"/>
      <c r="H737"/>
      <c r="I737"/>
      <c r="J737"/>
      <c r="K737"/>
      <c r="L737"/>
      <c r="M737" s="18" t="s">
        <v>280</v>
      </c>
      <c r="N737" t="s">
        <v>280</v>
      </c>
      <c r="O737" t="s">
        <v>96</v>
      </c>
      <c r="P737" s="1"/>
      <c r="Q737" s="13"/>
      <c r="R737"/>
      <c r="S737"/>
      <c r="T737"/>
      <c r="U737" s="9"/>
      <c r="V737" s="9"/>
      <c r="W737" s="9"/>
      <c r="X737" s="9"/>
    </row>
    <row r="738" spans="1:24">
      <c r="A738" s="13" t="s">
        <v>19</v>
      </c>
      <c r="B738" s="1"/>
      <c r="C738" s="1" t="s">
        <v>20</v>
      </c>
      <c r="D738" s="3">
        <v>96000</v>
      </c>
      <c r="E738"/>
      <c r="F738"/>
      <c r="G738"/>
      <c r="H738"/>
      <c r="I738"/>
      <c r="J738"/>
      <c r="K738"/>
      <c r="L738"/>
      <c r="M738" s="18" t="s">
        <v>281</v>
      </c>
      <c r="N738" t="s">
        <v>1136</v>
      </c>
      <c r="O738" t="s">
        <v>1395</v>
      </c>
      <c r="P738" s="1" t="s">
        <v>24</v>
      </c>
      <c r="Q738" s="13" t="s">
        <v>25</v>
      </c>
      <c r="R738">
        <v>3</v>
      </c>
      <c r="S738">
        <v>32000</v>
      </c>
      <c r="T738"/>
      <c r="U738" s="9"/>
      <c r="V738" s="9"/>
      <c r="W738" s="9"/>
      <c r="X738" s="9"/>
    </row>
    <row r="739" spans="1:24">
      <c r="A739" s="13" t="s">
        <v>19</v>
      </c>
      <c r="B739" s="1"/>
      <c r="C739" s="1" t="s">
        <v>20</v>
      </c>
      <c r="D739" s="3">
        <v>64000</v>
      </c>
      <c r="E739"/>
      <c r="F739"/>
      <c r="G739"/>
      <c r="H739"/>
      <c r="I739"/>
      <c r="J739"/>
      <c r="K739"/>
      <c r="L739"/>
      <c r="M739" s="18" t="s">
        <v>281</v>
      </c>
      <c r="N739" t="s">
        <v>1136</v>
      </c>
      <c r="O739" t="s">
        <v>1395</v>
      </c>
      <c r="P739" s="1" t="s">
        <v>24</v>
      </c>
      <c r="Q739" s="13" t="s">
        <v>25</v>
      </c>
      <c r="R739">
        <v>2</v>
      </c>
      <c r="S739">
        <v>32000</v>
      </c>
      <c r="T739"/>
      <c r="U739" s="9"/>
      <c r="V739" s="9"/>
      <c r="W739" s="9"/>
      <c r="X739" s="9"/>
    </row>
    <row r="740" spans="1:24">
      <c r="A740" s="13" t="s">
        <v>19</v>
      </c>
      <c r="B740" s="1"/>
      <c r="C740" s="1" t="s">
        <v>29</v>
      </c>
      <c r="D740" s="3">
        <v>15000</v>
      </c>
      <c r="E740"/>
      <c r="F740"/>
      <c r="G740"/>
      <c r="H740"/>
      <c r="I740"/>
      <c r="J740"/>
      <c r="K740"/>
      <c r="L740"/>
      <c r="M740" s="18" t="s">
        <v>281</v>
      </c>
      <c r="N740" t="s">
        <v>1136</v>
      </c>
      <c r="O740" t="s">
        <v>1395</v>
      </c>
      <c r="P740" s="1" t="s">
        <v>30</v>
      </c>
      <c r="Q740" s="13" t="s">
        <v>25</v>
      </c>
      <c r="R740">
        <v>3</v>
      </c>
      <c r="S740">
        <v>5000</v>
      </c>
      <c r="T740"/>
      <c r="U740" s="9"/>
      <c r="V740" s="9"/>
      <c r="W740" s="9"/>
      <c r="X740" s="9"/>
    </row>
    <row r="741" spans="1:24">
      <c r="A741" s="13" t="s">
        <v>19</v>
      </c>
      <c r="B741" s="1"/>
      <c r="C741" s="1" t="s">
        <v>29</v>
      </c>
      <c r="D741" s="3">
        <v>10000</v>
      </c>
      <c r="E741"/>
      <c r="F741"/>
      <c r="G741"/>
      <c r="H741"/>
      <c r="I741"/>
      <c r="J741"/>
      <c r="K741"/>
      <c r="L741"/>
      <c r="M741" s="18" t="s">
        <v>281</v>
      </c>
      <c r="N741" t="s">
        <v>1136</v>
      </c>
      <c r="O741" t="s">
        <v>1395</v>
      </c>
      <c r="P741" s="1" t="s">
        <v>30</v>
      </c>
      <c r="Q741" s="13" t="s">
        <v>25</v>
      </c>
      <c r="R741">
        <v>2</v>
      </c>
      <c r="S741">
        <v>5000</v>
      </c>
      <c r="T741"/>
      <c r="U741" s="9"/>
      <c r="V741" s="9"/>
      <c r="W741" s="9"/>
      <c r="X741" s="9"/>
    </row>
    <row r="742" spans="1:24">
      <c r="A742" s="13"/>
      <c r="B742" s="1"/>
      <c r="C742" s="1"/>
      <c r="D742" s="3" t="str">
        <f>SUBTOTAL(9,D738:D741)</f>
        <v>0</v>
      </c>
      <c r="E742"/>
      <c r="F742"/>
      <c r="G742"/>
      <c r="H742"/>
      <c r="I742"/>
      <c r="J742"/>
      <c r="K742"/>
      <c r="L742"/>
      <c r="M742" s="18" t="s">
        <v>282</v>
      </c>
      <c r="N742" t="s">
        <v>1486</v>
      </c>
      <c r="O742" t="s">
        <v>1395</v>
      </c>
      <c r="P742" s="1"/>
      <c r="Q742" s="13"/>
      <c r="R742"/>
      <c r="S742"/>
      <c r="T742"/>
      <c r="U742" s="9"/>
      <c r="V742" s="9"/>
      <c r="W742" s="9"/>
      <c r="X742" s="9"/>
    </row>
    <row r="743" spans="1:24">
      <c r="A743" s="13" t="s">
        <v>19</v>
      </c>
      <c r="B743" s="1"/>
      <c r="C743" s="1" t="s">
        <v>20</v>
      </c>
      <c r="D743" s="3">
        <v>96000</v>
      </c>
      <c r="E743"/>
      <c r="F743"/>
      <c r="G743"/>
      <c r="H743"/>
      <c r="I743"/>
      <c r="J743"/>
      <c r="K743"/>
      <c r="L743"/>
      <c r="M743" s="18" t="s">
        <v>283</v>
      </c>
      <c r="N743" t="s">
        <v>1200</v>
      </c>
      <c r="O743" t="s">
        <v>1395</v>
      </c>
      <c r="P743" s="1" t="s">
        <v>24</v>
      </c>
      <c r="Q743" s="13" t="s">
        <v>1018</v>
      </c>
      <c r="R743">
        <v>3</v>
      </c>
      <c r="S743">
        <v>32000</v>
      </c>
      <c r="T743"/>
      <c r="U743" s="9"/>
      <c r="V743" s="9"/>
      <c r="W743" s="9"/>
      <c r="X743" s="9"/>
    </row>
    <row r="744" spans="1:24">
      <c r="A744" s="13" t="s">
        <v>19</v>
      </c>
      <c r="B744" s="1"/>
      <c r="C744" s="1" t="s">
        <v>20</v>
      </c>
      <c r="D744" s="3">
        <v>96000</v>
      </c>
      <c r="E744"/>
      <c r="F744"/>
      <c r="G744"/>
      <c r="H744"/>
      <c r="I744"/>
      <c r="J744"/>
      <c r="K744"/>
      <c r="L744"/>
      <c r="M744" s="18" t="s">
        <v>283</v>
      </c>
      <c r="N744" t="s">
        <v>1200</v>
      </c>
      <c r="O744" t="s">
        <v>1395</v>
      </c>
      <c r="P744" s="1" t="s">
        <v>24</v>
      </c>
      <c r="Q744" s="13" t="s">
        <v>1018</v>
      </c>
      <c r="R744">
        <v>3</v>
      </c>
      <c r="S744">
        <v>32000</v>
      </c>
      <c r="T744"/>
      <c r="U744" s="9"/>
      <c r="V744" s="9"/>
      <c r="W744" s="9"/>
      <c r="X744" s="9"/>
    </row>
    <row r="745" spans="1:24">
      <c r="A745" s="13" t="s">
        <v>19</v>
      </c>
      <c r="B745" s="1"/>
      <c r="C745" s="1" t="s">
        <v>20</v>
      </c>
      <c r="D745" s="3">
        <v>96000</v>
      </c>
      <c r="E745"/>
      <c r="F745"/>
      <c r="G745"/>
      <c r="H745"/>
      <c r="I745"/>
      <c r="J745"/>
      <c r="K745"/>
      <c r="L745"/>
      <c r="M745" s="18" t="s">
        <v>283</v>
      </c>
      <c r="N745" t="s">
        <v>1200</v>
      </c>
      <c r="O745" t="s">
        <v>1395</v>
      </c>
      <c r="P745" s="1" t="s">
        <v>744</v>
      </c>
      <c r="Q745" s="13" t="s">
        <v>1018</v>
      </c>
      <c r="R745">
        <v>3</v>
      </c>
      <c r="S745">
        <v>32000</v>
      </c>
      <c r="T745"/>
      <c r="U745" s="9"/>
      <c r="V745" s="9"/>
      <c r="W745" s="9"/>
      <c r="X745" s="9"/>
    </row>
    <row r="746" spans="1:24">
      <c r="A746" s="13" t="s">
        <v>19</v>
      </c>
      <c r="B746" s="1"/>
      <c r="C746" s="1" t="s">
        <v>29</v>
      </c>
      <c r="D746" s="3">
        <v>15000</v>
      </c>
      <c r="E746"/>
      <c r="F746"/>
      <c r="G746"/>
      <c r="H746"/>
      <c r="I746"/>
      <c r="J746"/>
      <c r="K746"/>
      <c r="L746"/>
      <c r="M746" s="18" t="s">
        <v>283</v>
      </c>
      <c r="N746" t="s">
        <v>1200</v>
      </c>
      <c r="O746" t="s">
        <v>1395</v>
      </c>
      <c r="P746" s="1" t="s">
        <v>30</v>
      </c>
      <c r="Q746" s="13" t="s">
        <v>1018</v>
      </c>
      <c r="R746">
        <v>3</v>
      </c>
      <c r="S746">
        <v>5000</v>
      </c>
      <c r="T746"/>
      <c r="U746" s="9"/>
      <c r="V746" s="9"/>
      <c r="W746" s="9"/>
      <c r="X746" s="9"/>
    </row>
    <row r="747" spans="1:24">
      <c r="A747" s="13" t="s">
        <v>19</v>
      </c>
      <c r="B747" s="1"/>
      <c r="C747" s="1" t="s">
        <v>29</v>
      </c>
      <c r="D747" s="3">
        <v>15000</v>
      </c>
      <c r="E747"/>
      <c r="F747"/>
      <c r="G747"/>
      <c r="H747"/>
      <c r="I747"/>
      <c r="J747"/>
      <c r="K747"/>
      <c r="L747"/>
      <c r="M747" s="18" t="s">
        <v>283</v>
      </c>
      <c r="N747" t="s">
        <v>1200</v>
      </c>
      <c r="O747" t="s">
        <v>1395</v>
      </c>
      <c r="P747" s="1" t="s">
        <v>30</v>
      </c>
      <c r="Q747" s="13" t="s">
        <v>1018</v>
      </c>
      <c r="R747">
        <v>3</v>
      </c>
      <c r="S747">
        <v>5000</v>
      </c>
      <c r="T747"/>
      <c r="U747" s="9"/>
      <c r="V747" s="9"/>
      <c r="W747" s="9"/>
      <c r="X747" s="9"/>
    </row>
    <row r="748" spans="1:24">
      <c r="A748" s="13" t="s">
        <v>19</v>
      </c>
      <c r="B748" s="1"/>
      <c r="C748" s="1" t="s">
        <v>29</v>
      </c>
      <c r="D748" s="3">
        <v>15000</v>
      </c>
      <c r="E748"/>
      <c r="F748"/>
      <c r="G748"/>
      <c r="H748"/>
      <c r="I748"/>
      <c r="J748"/>
      <c r="K748"/>
      <c r="L748"/>
      <c r="M748" s="18" t="s">
        <v>283</v>
      </c>
      <c r="N748" t="s">
        <v>1200</v>
      </c>
      <c r="O748" t="s">
        <v>1395</v>
      </c>
      <c r="P748" s="1" t="s">
        <v>745</v>
      </c>
      <c r="Q748" s="13" t="s">
        <v>1018</v>
      </c>
      <c r="R748">
        <v>3</v>
      </c>
      <c r="S748">
        <v>5000</v>
      </c>
      <c r="T748"/>
      <c r="U748" s="9"/>
      <c r="V748" s="9"/>
      <c r="W748" s="9"/>
      <c r="X748" s="9"/>
    </row>
    <row r="749" spans="1:24">
      <c r="A749" s="13"/>
      <c r="B749" s="1"/>
      <c r="C749" s="1"/>
      <c r="D749" s="3" t="str">
        <f>SUBTOTAL(9,D743:D748)</f>
        <v>0</v>
      </c>
      <c r="E749"/>
      <c r="F749"/>
      <c r="G749"/>
      <c r="H749"/>
      <c r="I749"/>
      <c r="J749"/>
      <c r="K749"/>
      <c r="L749"/>
      <c r="M749" s="18" t="s">
        <v>284</v>
      </c>
      <c r="N749" t="s">
        <v>1487</v>
      </c>
      <c r="O749" t="s">
        <v>1395</v>
      </c>
      <c r="P749" s="1"/>
      <c r="Q749" s="13"/>
      <c r="R749"/>
      <c r="S749"/>
      <c r="T749"/>
      <c r="U749" s="9"/>
      <c r="V749" s="9"/>
      <c r="W749" s="9"/>
      <c r="X749" s="9"/>
    </row>
    <row r="750" spans="1:24">
      <c r="A750" s="13" t="s">
        <v>19</v>
      </c>
      <c r="B750" s="1"/>
      <c r="C750" s="1" t="s">
        <v>20</v>
      </c>
      <c r="D750" s="3">
        <v>96000</v>
      </c>
      <c r="E750"/>
      <c r="F750"/>
      <c r="G750"/>
      <c r="H750"/>
      <c r="I750"/>
      <c r="J750"/>
      <c r="K750"/>
      <c r="L750"/>
      <c r="M750" s="18" t="s">
        <v>285</v>
      </c>
      <c r="N750" t="s">
        <v>1153</v>
      </c>
      <c r="O750" t="s">
        <v>23</v>
      </c>
      <c r="P750" s="1" t="s">
        <v>24</v>
      </c>
      <c r="Q750" s="13" t="s">
        <v>25</v>
      </c>
      <c r="R750">
        <v>3</v>
      </c>
      <c r="S750">
        <v>32000</v>
      </c>
      <c r="T750"/>
      <c r="U750" s="9"/>
      <c r="V750" s="9"/>
      <c r="W750" s="9"/>
      <c r="X750" s="9"/>
    </row>
    <row r="751" spans="1:24">
      <c r="A751" s="13" t="s">
        <v>19</v>
      </c>
      <c r="B751" s="1"/>
      <c r="C751" s="1" t="s">
        <v>29</v>
      </c>
      <c r="D751" s="3">
        <v>15000</v>
      </c>
      <c r="E751"/>
      <c r="F751"/>
      <c r="G751"/>
      <c r="H751"/>
      <c r="I751"/>
      <c r="J751"/>
      <c r="K751"/>
      <c r="L751"/>
      <c r="M751" s="18" t="s">
        <v>285</v>
      </c>
      <c r="N751" t="s">
        <v>1153</v>
      </c>
      <c r="O751" t="s">
        <v>23</v>
      </c>
      <c r="P751" s="1" t="s">
        <v>30</v>
      </c>
      <c r="Q751" s="13" t="s">
        <v>25</v>
      </c>
      <c r="R751">
        <v>3</v>
      </c>
      <c r="S751">
        <v>5000</v>
      </c>
      <c r="T751"/>
      <c r="U751" s="9"/>
      <c r="V751" s="9"/>
      <c r="W751" s="9"/>
      <c r="X751" s="9"/>
    </row>
    <row r="752" spans="1:24">
      <c r="A752" s="13"/>
      <c r="B752" s="1"/>
      <c r="C752" s="1"/>
      <c r="D752" s="3" t="str">
        <f>SUBTOTAL(9,D750:D751)</f>
        <v>0</v>
      </c>
      <c r="E752"/>
      <c r="F752"/>
      <c r="G752"/>
      <c r="H752"/>
      <c r="I752"/>
      <c r="J752"/>
      <c r="K752"/>
      <c r="L752"/>
      <c r="M752" s="18" t="s">
        <v>286</v>
      </c>
      <c r="N752" t="s">
        <v>1488</v>
      </c>
      <c r="O752" t="s">
        <v>23</v>
      </c>
      <c r="P752" s="1"/>
      <c r="Q752" s="13"/>
      <c r="R752"/>
      <c r="S752"/>
      <c r="T752"/>
      <c r="U752" s="9"/>
      <c r="V752" s="9"/>
      <c r="W752" s="9"/>
      <c r="X752" s="9"/>
    </row>
    <row r="753" spans="1:24">
      <c r="A753" s="13" t="s">
        <v>19</v>
      </c>
      <c r="B753" s="1"/>
      <c r="C753" s="1" t="s">
        <v>26</v>
      </c>
      <c r="D753" s="3">
        <v>32000</v>
      </c>
      <c r="E753"/>
      <c r="F753"/>
      <c r="G753"/>
      <c r="H753"/>
      <c r="I753"/>
      <c r="J753"/>
      <c r="K753"/>
      <c r="L753"/>
      <c r="M753" s="18" t="s">
        <v>287</v>
      </c>
      <c r="N753" t="s">
        <v>1262</v>
      </c>
      <c r="O753" t="s">
        <v>1395</v>
      </c>
      <c r="P753" s="1" t="s">
        <v>746</v>
      </c>
      <c r="Q753" s="13" t="s">
        <v>25</v>
      </c>
      <c r="R753">
        <v>1</v>
      </c>
      <c r="S753">
        <v>32000</v>
      </c>
      <c r="T753"/>
      <c r="U753" s="9"/>
      <c r="V753" s="9"/>
      <c r="W753" s="9"/>
      <c r="X753" s="9"/>
    </row>
    <row r="754" spans="1:24">
      <c r="A754" s="13" t="s">
        <v>19</v>
      </c>
      <c r="B754" s="1"/>
      <c r="C754" s="1" t="s">
        <v>32</v>
      </c>
      <c r="D754" s="3">
        <v>5000</v>
      </c>
      <c r="E754"/>
      <c r="F754"/>
      <c r="G754"/>
      <c r="H754"/>
      <c r="I754"/>
      <c r="J754"/>
      <c r="K754"/>
      <c r="L754"/>
      <c r="M754" s="18" t="s">
        <v>287</v>
      </c>
      <c r="N754" t="s">
        <v>1262</v>
      </c>
      <c r="O754" t="s">
        <v>1395</v>
      </c>
      <c r="P754" s="1" t="s">
        <v>747</v>
      </c>
      <c r="Q754" s="13" t="s">
        <v>25</v>
      </c>
      <c r="R754">
        <v>1</v>
      </c>
      <c r="S754">
        <v>5000</v>
      </c>
      <c r="T754"/>
      <c r="U754" s="9"/>
      <c r="V754" s="9"/>
      <c r="W754" s="9"/>
      <c r="X754" s="9"/>
    </row>
    <row r="755" spans="1:24">
      <c r="A755" s="13"/>
      <c r="B755" s="1"/>
      <c r="C755" s="1"/>
      <c r="D755" s="3" t="str">
        <f>SUBTOTAL(9,D753:D754)</f>
        <v>0</v>
      </c>
      <c r="E755"/>
      <c r="F755"/>
      <c r="G755"/>
      <c r="H755"/>
      <c r="I755"/>
      <c r="J755"/>
      <c r="K755"/>
      <c r="L755"/>
      <c r="M755" s="18" t="s">
        <v>288</v>
      </c>
      <c r="N755" t="s">
        <v>1489</v>
      </c>
      <c r="O755" t="s">
        <v>1395</v>
      </c>
      <c r="P755" s="1"/>
      <c r="Q755" s="13"/>
      <c r="R755"/>
      <c r="S755"/>
      <c r="T755"/>
      <c r="U755" s="9"/>
      <c r="V755" s="9"/>
      <c r="W755" s="9"/>
      <c r="X755" s="9"/>
    </row>
    <row r="756" spans="1:24">
      <c r="A756" s="13" t="s">
        <v>19</v>
      </c>
      <c r="B756" s="1"/>
      <c r="C756" s="1" t="s">
        <v>20</v>
      </c>
      <c r="D756" s="3">
        <v>675400</v>
      </c>
      <c r="E756"/>
      <c r="F756"/>
      <c r="G756"/>
      <c r="H756"/>
      <c r="I756"/>
      <c r="J756"/>
      <c r="K756"/>
      <c r="L756"/>
      <c r="M756" s="18" t="s">
        <v>289</v>
      </c>
      <c r="N756" t="s">
        <v>1251</v>
      </c>
      <c r="O756" t="s">
        <v>1395</v>
      </c>
      <c r="P756" s="1" t="s">
        <v>24</v>
      </c>
      <c r="Q756" s="13" t="s">
        <v>1018</v>
      </c>
      <c r="R756">
        <v>22</v>
      </c>
      <c r="S756">
        <v>30700</v>
      </c>
      <c r="T756"/>
      <c r="U756" s="9"/>
      <c r="V756" s="9"/>
      <c r="W756" s="9"/>
      <c r="X756" s="9"/>
    </row>
    <row r="757" spans="1:24">
      <c r="A757" s="13" t="s">
        <v>19</v>
      </c>
      <c r="B757" s="1"/>
      <c r="C757" s="1" t="s">
        <v>20</v>
      </c>
      <c r="D757" s="3">
        <v>521900</v>
      </c>
      <c r="E757"/>
      <c r="F757"/>
      <c r="G757"/>
      <c r="H757"/>
      <c r="I757"/>
      <c r="J757"/>
      <c r="K757"/>
      <c r="L757"/>
      <c r="M757" s="18" t="s">
        <v>289</v>
      </c>
      <c r="N757" t="s">
        <v>1251</v>
      </c>
      <c r="O757" t="s">
        <v>1395</v>
      </c>
      <c r="P757" s="1" t="s">
        <v>24</v>
      </c>
      <c r="Q757" s="13" t="s">
        <v>1018</v>
      </c>
      <c r="R757">
        <v>17</v>
      </c>
      <c r="S757">
        <v>30700</v>
      </c>
      <c r="T757"/>
      <c r="U757" s="9"/>
      <c r="V757" s="9"/>
      <c r="W757" s="9"/>
      <c r="X757" s="9"/>
    </row>
    <row r="758" spans="1:24">
      <c r="A758" s="13" t="s">
        <v>19</v>
      </c>
      <c r="B758" s="1"/>
      <c r="C758" s="1" t="s">
        <v>20</v>
      </c>
      <c r="D758" s="3">
        <v>337700</v>
      </c>
      <c r="E758"/>
      <c r="F758"/>
      <c r="G758"/>
      <c r="H758"/>
      <c r="I758"/>
      <c r="J758"/>
      <c r="K758"/>
      <c r="L758"/>
      <c r="M758" s="18" t="s">
        <v>289</v>
      </c>
      <c r="N758" t="s">
        <v>1251</v>
      </c>
      <c r="O758" t="s">
        <v>1395</v>
      </c>
      <c r="P758" s="1" t="s">
        <v>24</v>
      </c>
      <c r="Q758" s="13" t="s">
        <v>1018</v>
      </c>
      <c r="R758">
        <v>11</v>
      </c>
      <c r="S758">
        <v>30700</v>
      </c>
      <c r="T758"/>
      <c r="U758" s="9"/>
      <c r="V758" s="9"/>
      <c r="W758" s="9"/>
      <c r="X758" s="9"/>
    </row>
    <row r="759" spans="1:24">
      <c r="A759" s="13" t="s">
        <v>19</v>
      </c>
      <c r="B759" s="1"/>
      <c r="C759" s="1" t="s">
        <v>20</v>
      </c>
      <c r="D759" s="3">
        <v>307000</v>
      </c>
      <c r="E759"/>
      <c r="F759"/>
      <c r="G759"/>
      <c r="H759"/>
      <c r="I759"/>
      <c r="J759"/>
      <c r="K759"/>
      <c r="L759"/>
      <c r="M759" s="18" t="s">
        <v>289</v>
      </c>
      <c r="N759" t="s">
        <v>1251</v>
      </c>
      <c r="O759" t="s">
        <v>1395</v>
      </c>
      <c r="P759" s="1" t="s">
        <v>24</v>
      </c>
      <c r="Q759" s="13" t="s">
        <v>1018</v>
      </c>
      <c r="R759">
        <v>10</v>
      </c>
      <c r="S759">
        <v>30700</v>
      </c>
      <c r="T759"/>
      <c r="U759" s="9"/>
      <c r="V759" s="9"/>
      <c r="W759" s="9"/>
      <c r="X759" s="9"/>
    </row>
    <row r="760" spans="1:24">
      <c r="A760" s="13" t="s">
        <v>19</v>
      </c>
      <c r="B760" s="1"/>
      <c r="C760" s="1" t="s">
        <v>20</v>
      </c>
      <c r="D760" s="3">
        <v>399100</v>
      </c>
      <c r="E760"/>
      <c r="F760"/>
      <c r="G760"/>
      <c r="H760"/>
      <c r="I760"/>
      <c r="J760"/>
      <c r="K760"/>
      <c r="L760"/>
      <c r="M760" s="18" t="s">
        <v>289</v>
      </c>
      <c r="N760" t="s">
        <v>1251</v>
      </c>
      <c r="O760" t="s">
        <v>1395</v>
      </c>
      <c r="P760" s="1" t="s">
        <v>24</v>
      </c>
      <c r="Q760" s="13" t="s">
        <v>1018</v>
      </c>
      <c r="R760">
        <v>13</v>
      </c>
      <c r="S760">
        <v>30700</v>
      </c>
      <c r="T760"/>
      <c r="U760" s="9"/>
      <c r="V760" s="9"/>
      <c r="W760" s="9"/>
      <c r="X760" s="9"/>
    </row>
    <row r="761" spans="1:24">
      <c r="A761" s="13" t="s">
        <v>19</v>
      </c>
      <c r="B761" s="1"/>
      <c r="C761" s="1" t="s">
        <v>20</v>
      </c>
      <c r="D761" s="3">
        <v>706100</v>
      </c>
      <c r="E761"/>
      <c r="F761"/>
      <c r="G761"/>
      <c r="H761"/>
      <c r="I761"/>
      <c r="J761"/>
      <c r="K761"/>
      <c r="L761"/>
      <c r="M761" s="18" t="s">
        <v>289</v>
      </c>
      <c r="N761" t="s">
        <v>1251</v>
      </c>
      <c r="O761" t="s">
        <v>1395</v>
      </c>
      <c r="P761" s="1" t="s">
        <v>24</v>
      </c>
      <c r="Q761" s="13" t="s">
        <v>1018</v>
      </c>
      <c r="R761">
        <v>23</v>
      </c>
      <c r="S761">
        <v>30700</v>
      </c>
      <c r="T761"/>
      <c r="U761" s="9"/>
      <c r="V761" s="9"/>
      <c r="W761" s="9"/>
      <c r="X761" s="9"/>
    </row>
    <row r="762" spans="1:24">
      <c r="A762" s="13" t="s">
        <v>19</v>
      </c>
      <c r="B762" s="1"/>
      <c r="C762" s="1" t="s">
        <v>20</v>
      </c>
      <c r="D762" s="3">
        <v>368400</v>
      </c>
      <c r="E762"/>
      <c r="F762"/>
      <c r="G762"/>
      <c r="H762"/>
      <c r="I762"/>
      <c r="J762"/>
      <c r="K762"/>
      <c r="L762"/>
      <c r="M762" s="18" t="s">
        <v>289</v>
      </c>
      <c r="N762" t="s">
        <v>1251</v>
      </c>
      <c r="O762" t="s">
        <v>1395</v>
      </c>
      <c r="P762" s="1" t="s">
        <v>24</v>
      </c>
      <c r="Q762" s="13" t="s">
        <v>1018</v>
      </c>
      <c r="R762">
        <v>12</v>
      </c>
      <c r="S762">
        <v>30700</v>
      </c>
      <c r="T762"/>
      <c r="U762" s="9"/>
      <c r="V762" s="9"/>
      <c r="W762" s="9"/>
      <c r="X762" s="9"/>
    </row>
    <row r="763" spans="1:24">
      <c r="A763" s="13" t="s">
        <v>19</v>
      </c>
      <c r="B763" s="1"/>
      <c r="C763" s="1" t="s">
        <v>20</v>
      </c>
      <c r="D763" s="3">
        <v>122800</v>
      </c>
      <c r="E763"/>
      <c r="F763"/>
      <c r="G763"/>
      <c r="H763"/>
      <c r="I763"/>
      <c r="J763"/>
      <c r="K763"/>
      <c r="L763"/>
      <c r="M763" s="18" t="s">
        <v>289</v>
      </c>
      <c r="N763" t="s">
        <v>1251</v>
      </c>
      <c r="O763" t="s">
        <v>1395</v>
      </c>
      <c r="P763" s="1" t="s">
        <v>24</v>
      </c>
      <c r="Q763" s="13" t="s">
        <v>1018</v>
      </c>
      <c r="R763">
        <v>4</v>
      </c>
      <c r="S763">
        <v>30700</v>
      </c>
      <c r="T763"/>
      <c r="U763" s="9"/>
      <c r="V763" s="9"/>
      <c r="W763" s="9"/>
      <c r="X763" s="9"/>
    </row>
    <row r="764" spans="1:24">
      <c r="A764" s="13" t="s">
        <v>19</v>
      </c>
      <c r="B764" s="1"/>
      <c r="C764" s="1" t="s">
        <v>20</v>
      </c>
      <c r="D764" s="3">
        <v>122800</v>
      </c>
      <c r="E764"/>
      <c r="F764"/>
      <c r="G764"/>
      <c r="H764"/>
      <c r="I764"/>
      <c r="J764"/>
      <c r="K764"/>
      <c r="L764"/>
      <c r="M764" s="18" t="s">
        <v>289</v>
      </c>
      <c r="N764" t="s">
        <v>1251</v>
      </c>
      <c r="O764" t="s">
        <v>1395</v>
      </c>
      <c r="P764" s="1" t="s">
        <v>24</v>
      </c>
      <c r="Q764" s="13" t="s">
        <v>1018</v>
      </c>
      <c r="R764">
        <v>4</v>
      </c>
      <c r="S764">
        <v>30700</v>
      </c>
      <c r="T764"/>
      <c r="U764" s="9"/>
      <c r="V764" s="9"/>
      <c r="W764" s="9"/>
      <c r="X764" s="9"/>
    </row>
    <row r="765" spans="1:24">
      <c r="A765" s="13" t="s">
        <v>19</v>
      </c>
      <c r="B765" s="1"/>
      <c r="C765" s="1" t="s">
        <v>20</v>
      </c>
      <c r="D765" s="3">
        <v>368400</v>
      </c>
      <c r="E765"/>
      <c r="F765"/>
      <c r="G765"/>
      <c r="H765"/>
      <c r="I765"/>
      <c r="J765"/>
      <c r="K765"/>
      <c r="L765"/>
      <c r="M765" s="18" t="s">
        <v>289</v>
      </c>
      <c r="N765" t="s">
        <v>1251</v>
      </c>
      <c r="O765" t="s">
        <v>1395</v>
      </c>
      <c r="P765" s="1" t="s">
        <v>748</v>
      </c>
      <c r="Q765" s="13" t="s">
        <v>1018</v>
      </c>
      <c r="R765">
        <v>12</v>
      </c>
      <c r="S765">
        <v>30700</v>
      </c>
      <c r="T765"/>
      <c r="U765" s="9"/>
      <c r="V765" s="9"/>
      <c r="W765" s="9"/>
      <c r="X765" s="9"/>
    </row>
    <row r="766" spans="1:24">
      <c r="A766" s="13" t="s">
        <v>19</v>
      </c>
      <c r="B766" s="1"/>
      <c r="C766" s="1" t="s">
        <v>20</v>
      </c>
      <c r="D766" s="3">
        <v>429800</v>
      </c>
      <c r="E766"/>
      <c r="F766"/>
      <c r="G766"/>
      <c r="H766"/>
      <c r="I766"/>
      <c r="J766"/>
      <c r="K766"/>
      <c r="L766"/>
      <c r="M766" s="18" t="s">
        <v>289</v>
      </c>
      <c r="N766" t="s">
        <v>1251</v>
      </c>
      <c r="O766" t="s">
        <v>1395</v>
      </c>
      <c r="P766" s="1" t="s">
        <v>749</v>
      </c>
      <c r="Q766" s="13" t="s">
        <v>1018</v>
      </c>
      <c r="R766">
        <v>14</v>
      </c>
      <c r="S766">
        <v>30700</v>
      </c>
      <c r="T766"/>
      <c r="U766" s="9"/>
      <c r="V766" s="9"/>
      <c r="W766" s="9"/>
      <c r="X766" s="9"/>
    </row>
    <row r="767" spans="1:24">
      <c r="A767" s="13" t="s">
        <v>19</v>
      </c>
      <c r="B767" s="1"/>
      <c r="C767" s="1" t="s">
        <v>29</v>
      </c>
      <c r="D767" s="3">
        <v>110000</v>
      </c>
      <c r="E767"/>
      <c r="F767"/>
      <c r="G767"/>
      <c r="H767"/>
      <c r="I767"/>
      <c r="J767"/>
      <c r="K767"/>
      <c r="L767"/>
      <c r="M767" s="18" t="s">
        <v>289</v>
      </c>
      <c r="N767" t="s">
        <v>1251</v>
      </c>
      <c r="O767" t="s">
        <v>1395</v>
      </c>
      <c r="P767" s="1" t="s">
        <v>30</v>
      </c>
      <c r="Q767" s="13" t="s">
        <v>1018</v>
      </c>
      <c r="R767">
        <v>22</v>
      </c>
      <c r="S767">
        <v>5000</v>
      </c>
      <c r="T767"/>
      <c r="U767" s="9"/>
      <c r="V767" s="9"/>
      <c r="W767" s="9"/>
      <c r="X767" s="9"/>
    </row>
    <row r="768" spans="1:24">
      <c r="A768" s="13" t="s">
        <v>19</v>
      </c>
      <c r="B768" s="1"/>
      <c r="C768" s="1" t="s">
        <v>29</v>
      </c>
      <c r="D768" s="3">
        <v>85000</v>
      </c>
      <c r="E768"/>
      <c r="F768"/>
      <c r="G768"/>
      <c r="H768"/>
      <c r="I768"/>
      <c r="J768"/>
      <c r="K768"/>
      <c r="L768"/>
      <c r="M768" s="18" t="s">
        <v>289</v>
      </c>
      <c r="N768" t="s">
        <v>1251</v>
      </c>
      <c r="O768" t="s">
        <v>1395</v>
      </c>
      <c r="P768" s="1" t="s">
        <v>30</v>
      </c>
      <c r="Q768" s="13" t="s">
        <v>1018</v>
      </c>
      <c r="R768">
        <v>17</v>
      </c>
      <c r="S768">
        <v>5000</v>
      </c>
      <c r="T768"/>
      <c r="U768" s="9"/>
      <c r="V768" s="9"/>
      <c r="W768" s="9"/>
      <c r="X768" s="9"/>
    </row>
    <row r="769" spans="1:24">
      <c r="A769" s="13" t="s">
        <v>19</v>
      </c>
      <c r="B769" s="1"/>
      <c r="C769" s="1" t="s">
        <v>29</v>
      </c>
      <c r="D769" s="3">
        <v>55000</v>
      </c>
      <c r="E769"/>
      <c r="F769"/>
      <c r="G769"/>
      <c r="H769"/>
      <c r="I769"/>
      <c r="J769"/>
      <c r="K769"/>
      <c r="L769"/>
      <c r="M769" s="18" t="s">
        <v>289</v>
      </c>
      <c r="N769" t="s">
        <v>1251</v>
      </c>
      <c r="O769" t="s">
        <v>1395</v>
      </c>
      <c r="P769" s="1" t="s">
        <v>30</v>
      </c>
      <c r="Q769" s="13" t="s">
        <v>1018</v>
      </c>
      <c r="R769">
        <v>11</v>
      </c>
      <c r="S769">
        <v>5000</v>
      </c>
      <c r="T769"/>
      <c r="U769" s="9"/>
      <c r="V769" s="9"/>
      <c r="W769" s="9"/>
      <c r="X769" s="9"/>
    </row>
    <row r="770" spans="1:24">
      <c r="A770" s="13" t="s">
        <v>19</v>
      </c>
      <c r="B770" s="1"/>
      <c r="C770" s="1" t="s">
        <v>29</v>
      </c>
      <c r="D770" s="3">
        <v>50000</v>
      </c>
      <c r="E770"/>
      <c r="F770"/>
      <c r="G770"/>
      <c r="H770"/>
      <c r="I770"/>
      <c r="J770"/>
      <c r="K770"/>
      <c r="L770"/>
      <c r="M770" s="18" t="s">
        <v>289</v>
      </c>
      <c r="N770" t="s">
        <v>1251</v>
      </c>
      <c r="O770" t="s">
        <v>1395</v>
      </c>
      <c r="P770" s="1" t="s">
        <v>30</v>
      </c>
      <c r="Q770" s="13" t="s">
        <v>1018</v>
      </c>
      <c r="R770">
        <v>10</v>
      </c>
      <c r="S770">
        <v>5000</v>
      </c>
      <c r="T770"/>
      <c r="U770" s="9"/>
      <c r="V770" s="9"/>
      <c r="W770" s="9"/>
      <c r="X770" s="9"/>
    </row>
    <row r="771" spans="1:24">
      <c r="A771" s="13" t="s">
        <v>19</v>
      </c>
      <c r="B771" s="1"/>
      <c r="C771" s="1" t="s">
        <v>29</v>
      </c>
      <c r="D771" s="3">
        <v>65000</v>
      </c>
      <c r="E771"/>
      <c r="F771"/>
      <c r="G771"/>
      <c r="H771"/>
      <c r="I771"/>
      <c r="J771"/>
      <c r="K771"/>
      <c r="L771"/>
      <c r="M771" s="18" t="s">
        <v>289</v>
      </c>
      <c r="N771" t="s">
        <v>1251</v>
      </c>
      <c r="O771" t="s">
        <v>1395</v>
      </c>
      <c r="P771" s="1" t="s">
        <v>30</v>
      </c>
      <c r="Q771" s="13" t="s">
        <v>1018</v>
      </c>
      <c r="R771">
        <v>13</v>
      </c>
      <c r="S771">
        <v>5000</v>
      </c>
      <c r="T771"/>
      <c r="U771" s="9"/>
      <c r="V771" s="9"/>
      <c r="W771" s="9"/>
      <c r="X771" s="9"/>
    </row>
    <row r="772" spans="1:24">
      <c r="A772" s="13" t="s">
        <v>19</v>
      </c>
      <c r="B772" s="1"/>
      <c r="C772" s="1" t="s">
        <v>29</v>
      </c>
      <c r="D772" s="3">
        <v>115000</v>
      </c>
      <c r="E772"/>
      <c r="F772"/>
      <c r="G772"/>
      <c r="H772"/>
      <c r="I772"/>
      <c r="J772"/>
      <c r="K772"/>
      <c r="L772"/>
      <c r="M772" s="18" t="s">
        <v>289</v>
      </c>
      <c r="N772" t="s">
        <v>1251</v>
      </c>
      <c r="O772" t="s">
        <v>1395</v>
      </c>
      <c r="P772" s="1" t="s">
        <v>30</v>
      </c>
      <c r="Q772" s="13" t="s">
        <v>1018</v>
      </c>
      <c r="R772">
        <v>23</v>
      </c>
      <c r="S772">
        <v>5000</v>
      </c>
      <c r="T772"/>
      <c r="U772" s="9"/>
      <c r="V772" s="9"/>
      <c r="W772" s="9"/>
      <c r="X772" s="9"/>
    </row>
    <row r="773" spans="1:24">
      <c r="A773" s="13" t="s">
        <v>19</v>
      </c>
      <c r="B773" s="1"/>
      <c r="C773" s="1" t="s">
        <v>29</v>
      </c>
      <c r="D773" s="3">
        <v>60000</v>
      </c>
      <c r="E773"/>
      <c r="F773"/>
      <c r="G773"/>
      <c r="H773"/>
      <c r="I773"/>
      <c r="J773"/>
      <c r="K773"/>
      <c r="L773"/>
      <c r="M773" s="18" t="s">
        <v>289</v>
      </c>
      <c r="N773" t="s">
        <v>1251</v>
      </c>
      <c r="O773" t="s">
        <v>1395</v>
      </c>
      <c r="P773" s="1" t="s">
        <v>30</v>
      </c>
      <c r="Q773" s="13" t="s">
        <v>1018</v>
      </c>
      <c r="R773">
        <v>12</v>
      </c>
      <c r="S773">
        <v>5000</v>
      </c>
      <c r="T773"/>
      <c r="U773" s="9"/>
      <c r="V773" s="9"/>
      <c r="W773" s="9"/>
      <c r="X773" s="9"/>
    </row>
    <row r="774" spans="1:24">
      <c r="A774" s="13" t="s">
        <v>19</v>
      </c>
      <c r="B774" s="1"/>
      <c r="C774" s="1" t="s">
        <v>29</v>
      </c>
      <c r="D774" s="3">
        <v>20000</v>
      </c>
      <c r="E774"/>
      <c r="F774"/>
      <c r="G774"/>
      <c r="H774"/>
      <c r="I774"/>
      <c r="J774"/>
      <c r="K774"/>
      <c r="L774"/>
      <c r="M774" s="18" t="s">
        <v>289</v>
      </c>
      <c r="N774" t="s">
        <v>1251</v>
      </c>
      <c r="O774" t="s">
        <v>1395</v>
      </c>
      <c r="P774" s="1" t="s">
        <v>30</v>
      </c>
      <c r="Q774" s="13" t="s">
        <v>1018</v>
      </c>
      <c r="R774">
        <v>4</v>
      </c>
      <c r="S774">
        <v>5000</v>
      </c>
      <c r="T774"/>
      <c r="U774" s="9"/>
      <c r="V774" s="9"/>
      <c r="W774" s="9"/>
      <c r="X774" s="9"/>
    </row>
    <row r="775" spans="1:24">
      <c r="A775" s="13" t="s">
        <v>19</v>
      </c>
      <c r="B775" s="1"/>
      <c r="C775" s="1" t="s">
        <v>29</v>
      </c>
      <c r="D775" s="3">
        <v>20000</v>
      </c>
      <c r="E775"/>
      <c r="F775"/>
      <c r="G775"/>
      <c r="H775"/>
      <c r="I775"/>
      <c r="J775"/>
      <c r="K775"/>
      <c r="L775"/>
      <c r="M775" s="18" t="s">
        <v>289</v>
      </c>
      <c r="N775" t="s">
        <v>1251</v>
      </c>
      <c r="O775" t="s">
        <v>1395</v>
      </c>
      <c r="P775" s="1" t="s">
        <v>30</v>
      </c>
      <c r="Q775" s="13" t="s">
        <v>1018</v>
      </c>
      <c r="R775">
        <v>4</v>
      </c>
      <c r="S775">
        <v>5000</v>
      </c>
      <c r="T775"/>
      <c r="U775" s="9"/>
      <c r="V775" s="9"/>
      <c r="W775" s="9"/>
      <c r="X775" s="9"/>
    </row>
    <row r="776" spans="1:24">
      <c r="A776" s="13" t="s">
        <v>19</v>
      </c>
      <c r="B776" s="1"/>
      <c r="C776" s="1" t="s">
        <v>29</v>
      </c>
      <c r="D776" s="3">
        <v>60000</v>
      </c>
      <c r="E776"/>
      <c r="F776"/>
      <c r="G776"/>
      <c r="H776"/>
      <c r="I776"/>
      <c r="J776"/>
      <c r="K776"/>
      <c r="L776"/>
      <c r="M776" s="18" t="s">
        <v>289</v>
      </c>
      <c r="N776" t="s">
        <v>1251</v>
      </c>
      <c r="O776" t="s">
        <v>1395</v>
      </c>
      <c r="P776" s="1" t="s">
        <v>750</v>
      </c>
      <c r="Q776" s="13" t="s">
        <v>1018</v>
      </c>
      <c r="R776">
        <v>12</v>
      </c>
      <c r="S776">
        <v>5000</v>
      </c>
      <c r="T776"/>
      <c r="U776" s="9"/>
      <c r="V776" s="9"/>
      <c r="W776" s="9"/>
      <c r="X776" s="9"/>
    </row>
    <row r="777" spans="1:24">
      <c r="A777" s="13" t="s">
        <v>19</v>
      </c>
      <c r="B777" s="1"/>
      <c r="C777" s="1" t="s">
        <v>29</v>
      </c>
      <c r="D777" s="3">
        <v>70000</v>
      </c>
      <c r="E777"/>
      <c r="F777"/>
      <c r="G777"/>
      <c r="H777"/>
      <c r="I777"/>
      <c r="J777"/>
      <c r="K777"/>
      <c r="L777"/>
      <c r="M777" s="18" t="s">
        <v>289</v>
      </c>
      <c r="N777" t="s">
        <v>1251</v>
      </c>
      <c r="O777" t="s">
        <v>1395</v>
      </c>
      <c r="P777" s="1" t="s">
        <v>751</v>
      </c>
      <c r="Q777" s="13" t="s">
        <v>1018</v>
      </c>
      <c r="R777">
        <v>14</v>
      </c>
      <c r="S777">
        <v>5000</v>
      </c>
      <c r="T777"/>
      <c r="U777" s="9"/>
      <c r="V777" s="9"/>
      <c r="W777" s="9"/>
      <c r="X777" s="9"/>
    </row>
    <row r="778" spans="1:24">
      <c r="A778" s="13"/>
      <c r="B778" s="1"/>
      <c r="C778" s="1"/>
      <c r="D778" s="3" t="str">
        <f>SUBTOTAL(9,D756:D777)</f>
        <v>0</v>
      </c>
      <c r="E778"/>
      <c r="F778"/>
      <c r="G778"/>
      <c r="H778"/>
      <c r="I778"/>
      <c r="J778"/>
      <c r="K778"/>
      <c r="L778"/>
      <c r="M778" s="18" t="s">
        <v>290</v>
      </c>
      <c r="N778" t="s">
        <v>1490</v>
      </c>
      <c r="O778" t="s">
        <v>1395</v>
      </c>
      <c r="P778" s="1"/>
      <c r="Q778" s="13"/>
      <c r="R778"/>
      <c r="S778"/>
      <c r="T778"/>
      <c r="U778" s="9"/>
      <c r="V778" s="9"/>
      <c r="W778" s="9"/>
      <c r="X778" s="9"/>
    </row>
    <row r="779" spans="1:24">
      <c r="A779" s="13" t="s">
        <v>19</v>
      </c>
      <c r="B779" s="1"/>
      <c r="C779" s="1" t="s">
        <v>20</v>
      </c>
      <c r="D779" s="3">
        <v>108000</v>
      </c>
      <c r="E779"/>
      <c r="F779"/>
      <c r="G779"/>
      <c r="H779"/>
      <c r="I779"/>
      <c r="J779"/>
      <c r="K779"/>
      <c r="L779"/>
      <c r="M779" s="18" t="s">
        <v>291</v>
      </c>
      <c r="N779" t="s">
        <v>1137</v>
      </c>
      <c r="O779" t="s">
        <v>94</v>
      </c>
      <c r="P779" s="1" t="s">
        <v>24</v>
      </c>
      <c r="Q779" s="13" t="s">
        <v>25</v>
      </c>
      <c r="R779">
        <v>6</v>
      </c>
      <c r="S779">
        <v>18000</v>
      </c>
      <c r="T779"/>
      <c r="U779" s="9"/>
      <c r="V779" s="9"/>
      <c r="W779" s="9"/>
      <c r="X779" s="9"/>
    </row>
    <row r="780" spans="1:24">
      <c r="A780" s="13" t="s">
        <v>19</v>
      </c>
      <c r="B780" s="1"/>
      <c r="C780" s="1" t="s">
        <v>20</v>
      </c>
      <c r="D780" s="3">
        <v>54000</v>
      </c>
      <c r="E780"/>
      <c r="F780"/>
      <c r="G780"/>
      <c r="H780"/>
      <c r="I780"/>
      <c r="J780"/>
      <c r="K780"/>
      <c r="L780"/>
      <c r="M780" s="18" t="s">
        <v>291</v>
      </c>
      <c r="N780" t="s">
        <v>1137</v>
      </c>
      <c r="O780" t="s">
        <v>94</v>
      </c>
      <c r="P780" s="1" t="s">
        <v>24</v>
      </c>
      <c r="Q780" s="13" t="s">
        <v>25</v>
      </c>
      <c r="R780">
        <v>3</v>
      </c>
      <c r="S780">
        <v>18000</v>
      </c>
      <c r="T780"/>
      <c r="U780" s="9"/>
      <c r="V780" s="9"/>
      <c r="W780" s="9"/>
      <c r="X780" s="9"/>
    </row>
    <row r="781" spans="1:24">
      <c r="A781" s="13" t="s">
        <v>19</v>
      </c>
      <c r="B781" s="1"/>
      <c r="C781" s="1" t="s">
        <v>20</v>
      </c>
      <c r="D781" s="3">
        <v>36000</v>
      </c>
      <c r="E781"/>
      <c r="F781"/>
      <c r="G781"/>
      <c r="H781"/>
      <c r="I781"/>
      <c r="J781"/>
      <c r="K781"/>
      <c r="L781"/>
      <c r="M781" s="18" t="s">
        <v>291</v>
      </c>
      <c r="N781" t="s">
        <v>1137</v>
      </c>
      <c r="O781" t="s">
        <v>94</v>
      </c>
      <c r="P781" s="1" t="s">
        <v>24</v>
      </c>
      <c r="Q781" s="13" t="s">
        <v>25</v>
      </c>
      <c r="R781">
        <v>2</v>
      </c>
      <c r="S781">
        <v>18000</v>
      </c>
      <c r="T781"/>
      <c r="U781" s="9"/>
      <c r="V781" s="9"/>
      <c r="W781" s="9"/>
      <c r="X781" s="9"/>
    </row>
    <row r="782" spans="1:24">
      <c r="A782" s="13" t="s">
        <v>19</v>
      </c>
      <c r="B782" s="1"/>
      <c r="C782" s="1" t="s">
        <v>20</v>
      </c>
      <c r="D782" s="3">
        <v>54000</v>
      </c>
      <c r="E782"/>
      <c r="F782"/>
      <c r="G782"/>
      <c r="H782"/>
      <c r="I782"/>
      <c r="J782"/>
      <c r="K782"/>
      <c r="L782"/>
      <c r="M782" s="18" t="s">
        <v>291</v>
      </c>
      <c r="N782" t="s">
        <v>1137</v>
      </c>
      <c r="O782" t="s">
        <v>94</v>
      </c>
      <c r="P782" s="1" t="s">
        <v>752</v>
      </c>
      <c r="Q782" s="13" t="s">
        <v>25</v>
      </c>
      <c r="R782">
        <v>3</v>
      </c>
      <c r="S782">
        <v>18000</v>
      </c>
      <c r="T782"/>
      <c r="U782" s="9"/>
      <c r="V782" s="9"/>
      <c r="W782" s="9"/>
      <c r="X782" s="9"/>
    </row>
    <row r="783" spans="1:24">
      <c r="A783" s="13" t="s">
        <v>19</v>
      </c>
      <c r="B783" s="1"/>
      <c r="C783" s="1" t="s">
        <v>20</v>
      </c>
      <c r="D783" s="3">
        <v>54000</v>
      </c>
      <c r="E783"/>
      <c r="F783"/>
      <c r="G783"/>
      <c r="H783"/>
      <c r="I783"/>
      <c r="J783"/>
      <c r="K783"/>
      <c r="L783"/>
      <c r="M783" s="18" t="s">
        <v>291</v>
      </c>
      <c r="N783" t="s">
        <v>1137</v>
      </c>
      <c r="O783" t="s">
        <v>94</v>
      </c>
      <c r="P783" s="1" t="s">
        <v>753</v>
      </c>
      <c r="Q783" s="13" t="s">
        <v>25</v>
      </c>
      <c r="R783">
        <v>3</v>
      </c>
      <c r="S783">
        <v>18000</v>
      </c>
      <c r="T783"/>
      <c r="U783" s="9"/>
      <c r="V783" s="9"/>
      <c r="W783" s="9"/>
      <c r="X783" s="9"/>
    </row>
    <row r="784" spans="1:24">
      <c r="A784" s="13" t="s">
        <v>19</v>
      </c>
      <c r="B784" s="1"/>
      <c r="C784" s="1" t="s">
        <v>20</v>
      </c>
      <c r="D784" s="3">
        <v>36000</v>
      </c>
      <c r="E784"/>
      <c r="F784"/>
      <c r="G784"/>
      <c r="H784"/>
      <c r="I784"/>
      <c r="J784"/>
      <c r="K784"/>
      <c r="L784"/>
      <c r="M784" s="18" t="s">
        <v>291</v>
      </c>
      <c r="N784" t="s">
        <v>1137</v>
      </c>
      <c r="O784" t="s">
        <v>94</v>
      </c>
      <c r="P784" s="1" t="s">
        <v>754</v>
      </c>
      <c r="Q784" s="13" t="s">
        <v>25</v>
      </c>
      <c r="R784">
        <v>2</v>
      </c>
      <c r="S784">
        <v>18000</v>
      </c>
      <c r="T784"/>
      <c r="U784" s="9"/>
      <c r="V784" s="9"/>
      <c r="W784" s="9"/>
      <c r="X784" s="9"/>
    </row>
    <row r="785" spans="1:24">
      <c r="A785" s="13" t="s">
        <v>19</v>
      </c>
      <c r="B785" s="1"/>
      <c r="C785" s="1" t="s">
        <v>29</v>
      </c>
      <c r="D785" s="3">
        <v>30000</v>
      </c>
      <c r="E785"/>
      <c r="F785"/>
      <c r="G785"/>
      <c r="H785"/>
      <c r="I785"/>
      <c r="J785"/>
      <c r="K785"/>
      <c r="L785"/>
      <c r="M785" s="18" t="s">
        <v>291</v>
      </c>
      <c r="N785" t="s">
        <v>1137</v>
      </c>
      <c r="O785" t="s">
        <v>94</v>
      </c>
      <c r="P785" s="1" t="s">
        <v>30</v>
      </c>
      <c r="Q785" s="13" t="s">
        <v>25</v>
      </c>
      <c r="R785">
        <v>6</v>
      </c>
      <c r="S785">
        <v>5000</v>
      </c>
      <c r="T785"/>
      <c r="U785" s="9"/>
      <c r="V785" s="9"/>
      <c r="W785" s="9"/>
      <c r="X785" s="9"/>
    </row>
    <row r="786" spans="1:24">
      <c r="A786" s="13" t="s">
        <v>19</v>
      </c>
      <c r="B786" s="1"/>
      <c r="C786" s="1" t="s">
        <v>29</v>
      </c>
      <c r="D786" s="3">
        <v>15000</v>
      </c>
      <c r="E786"/>
      <c r="F786"/>
      <c r="G786"/>
      <c r="H786"/>
      <c r="I786"/>
      <c r="J786"/>
      <c r="K786"/>
      <c r="L786"/>
      <c r="M786" s="18" t="s">
        <v>291</v>
      </c>
      <c r="N786" t="s">
        <v>1137</v>
      </c>
      <c r="O786" t="s">
        <v>94</v>
      </c>
      <c r="P786" s="1" t="s">
        <v>30</v>
      </c>
      <c r="Q786" s="13" t="s">
        <v>25</v>
      </c>
      <c r="R786">
        <v>3</v>
      </c>
      <c r="S786">
        <v>5000</v>
      </c>
      <c r="T786"/>
      <c r="U786" s="9"/>
      <c r="V786" s="9"/>
      <c r="W786" s="9"/>
      <c r="X786" s="9"/>
    </row>
    <row r="787" spans="1:24">
      <c r="A787" s="13" t="s">
        <v>19</v>
      </c>
      <c r="B787" s="1"/>
      <c r="C787" s="1" t="s">
        <v>29</v>
      </c>
      <c r="D787" s="3">
        <v>10000</v>
      </c>
      <c r="E787"/>
      <c r="F787"/>
      <c r="G787"/>
      <c r="H787"/>
      <c r="I787"/>
      <c r="J787"/>
      <c r="K787"/>
      <c r="L787"/>
      <c r="M787" s="18" t="s">
        <v>291</v>
      </c>
      <c r="N787" t="s">
        <v>1137</v>
      </c>
      <c r="O787" t="s">
        <v>94</v>
      </c>
      <c r="P787" s="1" t="s">
        <v>30</v>
      </c>
      <c r="Q787" s="13" t="s">
        <v>25</v>
      </c>
      <c r="R787">
        <v>2</v>
      </c>
      <c r="S787">
        <v>5000</v>
      </c>
      <c r="T787"/>
      <c r="U787" s="9"/>
      <c r="V787" s="9"/>
      <c r="W787" s="9"/>
      <c r="X787" s="9"/>
    </row>
    <row r="788" spans="1:24">
      <c r="A788" s="13" t="s">
        <v>19</v>
      </c>
      <c r="B788" s="1"/>
      <c r="C788" s="1" t="s">
        <v>29</v>
      </c>
      <c r="D788" s="3">
        <v>15000</v>
      </c>
      <c r="E788"/>
      <c r="F788"/>
      <c r="G788"/>
      <c r="H788"/>
      <c r="I788"/>
      <c r="J788"/>
      <c r="K788"/>
      <c r="L788"/>
      <c r="M788" s="18" t="s">
        <v>291</v>
      </c>
      <c r="N788" t="s">
        <v>1137</v>
      </c>
      <c r="O788" t="s">
        <v>94</v>
      </c>
      <c r="P788" s="1" t="s">
        <v>755</v>
      </c>
      <c r="Q788" s="13" t="s">
        <v>25</v>
      </c>
      <c r="R788">
        <v>3</v>
      </c>
      <c r="S788">
        <v>5000</v>
      </c>
      <c r="T788"/>
      <c r="U788" s="9"/>
      <c r="V788" s="9"/>
      <c r="W788" s="9"/>
      <c r="X788" s="9"/>
    </row>
    <row r="789" spans="1:24">
      <c r="A789" s="13" t="s">
        <v>19</v>
      </c>
      <c r="B789" s="1"/>
      <c r="C789" s="1" t="s">
        <v>29</v>
      </c>
      <c r="D789" s="3">
        <v>15000</v>
      </c>
      <c r="E789"/>
      <c r="F789"/>
      <c r="G789"/>
      <c r="H789"/>
      <c r="I789"/>
      <c r="J789"/>
      <c r="K789"/>
      <c r="L789"/>
      <c r="M789" s="18" t="s">
        <v>291</v>
      </c>
      <c r="N789" t="s">
        <v>1137</v>
      </c>
      <c r="O789" t="s">
        <v>94</v>
      </c>
      <c r="P789" s="1" t="s">
        <v>756</v>
      </c>
      <c r="Q789" s="13" t="s">
        <v>25</v>
      </c>
      <c r="R789">
        <v>3</v>
      </c>
      <c r="S789">
        <v>5000</v>
      </c>
      <c r="T789"/>
      <c r="U789" s="9"/>
      <c r="V789" s="9"/>
      <c r="W789" s="9"/>
      <c r="X789" s="9"/>
    </row>
    <row r="790" spans="1:24">
      <c r="A790" s="13" t="s">
        <v>19</v>
      </c>
      <c r="B790" s="1"/>
      <c r="C790" s="1" t="s">
        <v>29</v>
      </c>
      <c r="D790" s="3">
        <v>10000</v>
      </c>
      <c r="E790"/>
      <c r="F790"/>
      <c r="G790"/>
      <c r="H790"/>
      <c r="I790"/>
      <c r="J790"/>
      <c r="K790"/>
      <c r="L790"/>
      <c r="M790" s="18" t="s">
        <v>291</v>
      </c>
      <c r="N790" t="s">
        <v>1137</v>
      </c>
      <c r="O790" t="s">
        <v>94</v>
      </c>
      <c r="P790" s="1" t="s">
        <v>757</v>
      </c>
      <c r="Q790" s="13" t="s">
        <v>25</v>
      </c>
      <c r="R790">
        <v>2</v>
      </c>
      <c r="S790">
        <v>5000</v>
      </c>
      <c r="T790"/>
      <c r="U790" s="9"/>
      <c r="V790" s="9"/>
      <c r="W790" s="9"/>
      <c r="X790" s="9"/>
    </row>
    <row r="791" spans="1:24">
      <c r="A791" s="13"/>
      <c r="B791" s="1"/>
      <c r="C791" s="1"/>
      <c r="D791" s="3" t="str">
        <f>SUBTOTAL(9,D779:D790)</f>
        <v>0</v>
      </c>
      <c r="E791"/>
      <c r="F791"/>
      <c r="G791"/>
      <c r="H791"/>
      <c r="I791"/>
      <c r="J791"/>
      <c r="K791"/>
      <c r="L791"/>
      <c r="M791" s="18" t="s">
        <v>292</v>
      </c>
      <c r="N791" t="s">
        <v>1491</v>
      </c>
      <c r="O791" t="s">
        <v>94</v>
      </c>
      <c r="P791" s="1"/>
      <c r="Q791" s="13"/>
      <c r="R791"/>
      <c r="S791"/>
      <c r="T791"/>
      <c r="U791" s="9"/>
      <c r="V791" s="9"/>
      <c r="W791" s="9"/>
      <c r="X791" s="9"/>
    </row>
    <row r="792" spans="1:24">
      <c r="A792" s="13" t="s">
        <v>19</v>
      </c>
      <c r="B792" s="1"/>
      <c r="C792" s="1" t="s">
        <v>20</v>
      </c>
      <c r="D792" s="3">
        <v>384000</v>
      </c>
      <c r="E792"/>
      <c r="F792"/>
      <c r="G792"/>
      <c r="H792"/>
      <c r="I792"/>
      <c r="J792"/>
      <c r="K792"/>
      <c r="L792"/>
      <c r="M792" s="18" t="s">
        <v>293</v>
      </c>
      <c r="N792" t="s">
        <v>1150</v>
      </c>
      <c r="O792" t="s">
        <v>1395</v>
      </c>
      <c r="P792" s="1" t="s">
        <v>24</v>
      </c>
      <c r="Q792" s="13" t="s">
        <v>25</v>
      </c>
      <c r="R792">
        <v>12</v>
      </c>
      <c r="S792">
        <v>32000</v>
      </c>
      <c r="T792"/>
      <c r="U792" s="9"/>
      <c r="V792" s="9"/>
      <c r="W792" s="9"/>
      <c r="X792" s="9"/>
    </row>
    <row r="793" spans="1:24">
      <c r="A793" s="13" t="s">
        <v>19</v>
      </c>
      <c r="B793" s="1"/>
      <c r="C793" s="1" t="s">
        <v>20</v>
      </c>
      <c r="D793" s="3">
        <v>224000</v>
      </c>
      <c r="E793"/>
      <c r="F793"/>
      <c r="G793"/>
      <c r="H793"/>
      <c r="I793"/>
      <c r="J793"/>
      <c r="K793"/>
      <c r="L793"/>
      <c r="M793" s="18" t="s">
        <v>293</v>
      </c>
      <c r="N793" t="s">
        <v>1150</v>
      </c>
      <c r="O793" t="s">
        <v>1395</v>
      </c>
      <c r="P793" s="1" t="s">
        <v>24</v>
      </c>
      <c r="Q793" s="13" t="s">
        <v>25</v>
      </c>
      <c r="R793">
        <v>7</v>
      </c>
      <c r="S793">
        <v>32000</v>
      </c>
      <c r="T793"/>
      <c r="U793" s="9"/>
      <c r="V793" s="9"/>
      <c r="W793" s="9"/>
      <c r="X793" s="9"/>
    </row>
    <row r="794" spans="1:24">
      <c r="A794" s="13" t="s">
        <v>19</v>
      </c>
      <c r="B794" s="1"/>
      <c r="C794" s="1" t="s">
        <v>20</v>
      </c>
      <c r="D794" s="3">
        <v>32000</v>
      </c>
      <c r="E794"/>
      <c r="F794"/>
      <c r="G794"/>
      <c r="H794"/>
      <c r="I794"/>
      <c r="J794"/>
      <c r="K794"/>
      <c r="L794"/>
      <c r="M794" s="18" t="s">
        <v>293</v>
      </c>
      <c r="N794" t="s">
        <v>1150</v>
      </c>
      <c r="O794" t="s">
        <v>1395</v>
      </c>
      <c r="P794" s="1" t="s">
        <v>24</v>
      </c>
      <c r="Q794" s="13" t="s">
        <v>25</v>
      </c>
      <c r="R794">
        <v>1</v>
      </c>
      <c r="S794">
        <v>32000</v>
      </c>
      <c r="T794"/>
      <c r="U794" s="9"/>
      <c r="V794" s="9"/>
      <c r="W794" s="9"/>
      <c r="X794" s="9"/>
    </row>
    <row r="795" spans="1:24">
      <c r="A795" s="13" t="s">
        <v>19</v>
      </c>
      <c r="B795" s="1"/>
      <c r="C795" s="1" t="s">
        <v>20</v>
      </c>
      <c r="D795" s="3">
        <v>320000</v>
      </c>
      <c r="E795"/>
      <c r="F795"/>
      <c r="G795"/>
      <c r="H795"/>
      <c r="I795"/>
      <c r="J795"/>
      <c r="K795"/>
      <c r="L795"/>
      <c r="M795" s="18" t="s">
        <v>293</v>
      </c>
      <c r="N795" t="s">
        <v>1150</v>
      </c>
      <c r="O795" t="s">
        <v>1395</v>
      </c>
      <c r="P795" s="1" t="s">
        <v>24</v>
      </c>
      <c r="Q795" s="13" t="s">
        <v>25</v>
      </c>
      <c r="R795">
        <v>10</v>
      </c>
      <c r="S795">
        <v>32000</v>
      </c>
      <c r="T795"/>
      <c r="U795" s="9"/>
      <c r="V795" s="9"/>
      <c r="W795" s="9"/>
      <c r="X795" s="9"/>
    </row>
    <row r="796" spans="1:24">
      <c r="A796" s="13" t="s">
        <v>19</v>
      </c>
      <c r="B796" s="1"/>
      <c r="C796" s="1" t="s">
        <v>20</v>
      </c>
      <c r="D796" s="3">
        <v>320000</v>
      </c>
      <c r="E796"/>
      <c r="F796"/>
      <c r="G796"/>
      <c r="H796"/>
      <c r="I796"/>
      <c r="J796"/>
      <c r="K796"/>
      <c r="L796"/>
      <c r="M796" s="18" t="s">
        <v>293</v>
      </c>
      <c r="N796" t="s">
        <v>1150</v>
      </c>
      <c r="O796" t="s">
        <v>1395</v>
      </c>
      <c r="P796" s="1" t="s">
        <v>24</v>
      </c>
      <c r="Q796" s="13" t="s">
        <v>25</v>
      </c>
      <c r="R796">
        <v>10</v>
      </c>
      <c r="S796">
        <v>32000</v>
      </c>
      <c r="T796"/>
      <c r="U796" s="9"/>
      <c r="V796" s="9"/>
      <c r="W796" s="9"/>
      <c r="X796" s="9"/>
    </row>
    <row r="797" spans="1:24">
      <c r="A797" s="13" t="s">
        <v>19</v>
      </c>
      <c r="B797" s="1"/>
      <c r="C797" s="1" t="s">
        <v>20</v>
      </c>
      <c r="D797" s="3">
        <v>64000</v>
      </c>
      <c r="E797"/>
      <c r="F797"/>
      <c r="G797"/>
      <c r="H797"/>
      <c r="I797"/>
      <c r="J797"/>
      <c r="K797"/>
      <c r="L797"/>
      <c r="M797" s="18" t="s">
        <v>293</v>
      </c>
      <c r="N797" t="s">
        <v>1150</v>
      </c>
      <c r="O797" t="s">
        <v>1395</v>
      </c>
      <c r="P797" s="1" t="s">
        <v>24</v>
      </c>
      <c r="Q797" s="13" t="s">
        <v>25</v>
      </c>
      <c r="R797">
        <v>2</v>
      </c>
      <c r="S797">
        <v>32000</v>
      </c>
      <c r="T797"/>
      <c r="U797" s="9"/>
      <c r="V797" s="9"/>
      <c r="W797" s="9"/>
      <c r="X797" s="9"/>
    </row>
    <row r="798" spans="1:24">
      <c r="A798" s="13" t="s">
        <v>19</v>
      </c>
      <c r="B798" s="1"/>
      <c r="C798" s="1" t="s">
        <v>20</v>
      </c>
      <c r="D798" s="3">
        <v>448000</v>
      </c>
      <c r="E798"/>
      <c r="F798"/>
      <c r="G798"/>
      <c r="H798"/>
      <c r="I798"/>
      <c r="J798"/>
      <c r="K798"/>
      <c r="L798"/>
      <c r="M798" s="18" t="s">
        <v>293</v>
      </c>
      <c r="N798" t="s">
        <v>1150</v>
      </c>
      <c r="O798" t="s">
        <v>1395</v>
      </c>
      <c r="P798" s="1" t="s">
        <v>24</v>
      </c>
      <c r="Q798" s="13" t="s">
        <v>25</v>
      </c>
      <c r="R798">
        <v>14</v>
      </c>
      <c r="S798">
        <v>32000</v>
      </c>
      <c r="T798"/>
      <c r="U798" s="9"/>
      <c r="V798" s="9"/>
      <c r="W798" s="9"/>
      <c r="X798" s="9"/>
    </row>
    <row r="799" spans="1:24">
      <c r="A799" s="13" t="s">
        <v>19</v>
      </c>
      <c r="B799" s="1"/>
      <c r="C799" s="1" t="s">
        <v>20</v>
      </c>
      <c r="D799" s="3">
        <v>32000</v>
      </c>
      <c r="E799"/>
      <c r="F799"/>
      <c r="G799"/>
      <c r="H799"/>
      <c r="I799"/>
      <c r="J799"/>
      <c r="K799"/>
      <c r="L799"/>
      <c r="M799" s="18" t="s">
        <v>293</v>
      </c>
      <c r="N799" t="s">
        <v>1150</v>
      </c>
      <c r="O799" t="s">
        <v>1395</v>
      </c>
      <c r="P799" s="1" t="s">
        <v>24</v>
      </c>
      <c r="Q799" s="13" t="s">
        <v>25</v>
      </c>
      <c r="R799">
        <v>1</v>
      </c>
      <c r="S799">
        <v>32000</v>
      </c>
      <c r="T799"/>
      <c r="U799" s="9"/>
      <c r="V799" s="9"/>
      <c r="W799" s="9"/>
      <c r="X799" s="9"/>
    </row>
    <row r="800" spans="1:24">
      <c r="A800" s="13" t="s">
        <v>19</v>
      </c>
      <c r="B800" s="1"/>
      <c r="C800" s="1" t="s">
        <v>20</v>
      </c>
      <c r="D800" s="3">
        <v>320000</v>
      </c>
      <c r="E800"/>
      <c r="F800"/>
      <c r="G800"/>
      <c r="H800"/>
      <c r="I800"/>
      <c r="J800"/>
      <c r="K800"/>
      <c r="L800"/>
      <c r="M800" s="18" t="s">
        <v>293</v>
      </c>
      <c r="N800" t="s">
        <v>1150</v>
      </c>
      <c r="O800" t="s">
        <v>1395</v>
      </c>
      <c r="P800" s="1" t="s">
        <v>758</v>
      </c>
      <c r="Q800" s="13" t="s">
        <v>25</v>
      </c>
      <c r="R800">
        <v>10</v>
      </c>
      <c r="S800">
        <v>32000</v>
      </c>
      <c r="T800"/>
      <c r="U800" s="9"/>
      <c r="V800" s="9"/>
      <c r="W800" s="9"/>
      <c r="X800" s="9"/>
    </row>
    <row r="801" spans="1:24">
      <c r="A801" s="13" t="s">
        <v>19</v>
      </c>
      <c r="B801" s="1"/>
      <c r="C801" s="1" t="s">
        <v>20</v>
      </c>
      <c r="D801" s="3">
        <v>128000</v>
      </c>
      <c r="E801"/>
      <c r="F801"/>
      <c r="G801"/>
      <c r="H801"/>
      <c r="I801"/>
      <c r="J801"/>
      <c r="K801"/>
      <c r="L801"/>
      <c r="M801" s="18" t="s">
        <v>293</v>
      </c>
      <c r="N801" t="s">
        <v>1150</v>
      </c>
      <c r="O801" t="s">
        <v>1395</v>
      </c>
      <c r="P801" s="1" t="s">
        <v>24</v>
      </c>
      <c r="Q801" s="13" t="s">
        <v>25</v>
      </c>
      <c r="R801">
        <v>4</v>
      </c>
      <c r="S801">
        <v>32000</v>
      </c>
      <c r="T801"/>
      <c r="U801" s="9"/>
      <c r="V801" s="9"/>
      <c r="W801" s="9"/>
      <c r="X801" s="9"/>
    </row>
    <row r="802" spans="1:24">
      <c r="A802" s="13" t="s">
        <v>19</v>
      </c>
      <c r="B802" s="1"/>
      <c r="C802" s="1" t="s">
        <v>26</v>
      </c>
      <c r="D802" s="3">
        <v>37000</v>
      </c>
      <c r="E802"/>
      <c r="F802"/>
      <c r="G802"/>
      <c r="H802"/>
      <c r="I802"/>
      <c r="J802"/>
      <c r="K802"/>
      <c r="L802"/>
      <c r="M802" s="18" t="s">
        <v>293</v>
      </c>
      <c r="N802" t="s">
        <v>1150</v>
      </c>
      <c r="O802" t="s">
        <v>1395</v>
      </c>
      <c r="P802" s="1" t="s">
        <v>610</v>
      </c>
      <c r="Q802" s="13" t="s">
        <v>25</v>
      </c>
      <c r="R802">
        <v>1</v>
      </c>
      <c r="S802">
        <v>37000</v>
      </c>
      <c r="T802"/>
      <c r="U802" s="9"/>
      <c r="V802" s="9"/>
      <c r="W802" s="9"/>
      <c r="X802" s="9"/>
    </row>
    <row r="803" spans="1:24">
      <c r="A803" s="13" t="s">
        <v>19</v>
      </c>
      <c r="B803" s="1"/>
      <c r="C803" s="1" t="s">
        <v>26</v>
      </c>
      <c r="D803" s="3">
        <v>37000</v>
      </c>
      <c r="E803"/>
      <c r="F803"/>
      <c r="G803"/>
      <c r="H803"/>
      <c r="I803"/>
      <c r="J803"/>
      <c r="K803"/>
      <c r="L803"/>
      <c r="M803" s="18" t="s">
        <v>293</v>
      </c>
      <c r="N803" t="s">
        <v>1150</v>
      </c>
      <c r="O803" t="s">
        <v>1395</v>
      </c>
      <c r="P803" s="1" t="s">
        <v>590</v>
      </c>
      <c r="Q803" s="13" t="s">
        <v>25</v>
      </c>
      <c r="R803">
        <v>1</v>
      </c>
      <c r="S803">
        <v>37000</v>
      </c>
      <c r="T803"/>
      <c r="U803" s="9"/>
      <c r="V803" s="9"/>
      <c r="W803" s="9"/>
      <c r="X803" s="9"/>
    </row>
    <row r="804" spans="1:24">
      <c r="A804" s="13" t="s">
        <v>19</v>
      </c>
      <c r="B804" s="1"/>
      <c r="C804" s="1" t="s">
        <v>26</v>
      </c>
      <c r="D804" s="3">
        <v>37000</v>
      </c>
      <c r="E804"/>
      <c r="F804"/>
      <c r="G804"/>
      <c r="H804"/>
      <c r="I804"/>
      <c r="J804"/>
      <c r="K804"/>
      <c r="L804"/>
      <c r="M804" s="18" t="s">
        <v>293</v>
      </c>
      <c r="N804" t="s">
        <v>1150</v>
      </c>
      <c r="O804" t="s">
        <v>1395</v>
      </c>
      <c r="P804" s="1" t="s">
        <v>701</v>
      </c>
      <c r="Q804" s="13" t="s">
        <v>25</v>
      </c>
      <c r="R804">
        <v>1</v>
      </c>
      <c r="S804">
        <v>37000</v>
      </c>
      <c r="T804"/>
      <c r="U804" s="9"/>
      <c r="V804" s="9"/>
      <c r="W804" s="9"/>
      <c r="X804" s="9"/>
    </row>
    <row r="805" spans="1:24">
      <c r="A805" s="13" t="s">
        <v>19</v>
      </c>
      <c r="B805" s="1"/>
      <c r="C805" s="1" t="s">
        <v>26</v>
      </c>
      <c r="D805" s="3">
        <v>64000</v>
      </c>
      <c r="E805"/>
      <c r="F805"/>
      <c r="G805"/>
      <c r="H805"/>
      <c r="I805"/>
      <c r="J805"/>
      <c r="K805"/>
      <c r="L805"/>
      <c r="M805" s="18" t="s">
        <v>293</v>
      </c>
      <c r="N805" t="s">
        <v>1150</v>
      </c>
      <c r="O805" t="s">
        <v>1395</v>
      </c>
      <c r="P805" s="1" t="s">
        <v>759</v>
      </c>
      <c r="Q805" s="13" t="s">
        <v>25</v>
      </c>
      <c r="R805">
        <v>2</v>
      </c>
      <c r="S805">
        <v>32000</v>
      </c>
      <c r="T805"/>
      <c r="U805" s="9"/>
      <c r="V805" s="9"/>
      <c r="W805" s="9"/>
      <c r="X805" s="9"/>
    </row>
    <row r="806" spans="1:24">
      <c r="A806" s="13" t="s">
        <v>19</v>
      </c>
      <c r="B806" s="1"/>
      <c r="C806" s="1" t="s">
        <v>29</v>
      </c>
      <c r="D806" s="3">
        <v>60000</v>
      </c>
      <c r="E806"/>
      <c r="F806"/>
      <c r="G806"/>
      <c r="H806"/>
      <c r="I806"/>
      <c r="J806"/>
      <c r="K806"/>
      <c r="L806"/>
      <c r="M806" s="18" t="s">
        <v>293</v>
      </c>
      <c r="N806" t="s">
        <v>1150</v>
      </c>
      <c r="O806" t="s">
        <v>1395</v>
      </c>
      <c r="P806" s="1" t="s">
        <v>30</v>
      </c>
      <c r="Q806" s="13" t="s">
        <v>25</v>
      </c>
      <c r="R806">
        <v>12</v>
      </c>
      <c r="S806">
        <v>5000</v>
      </c>
      <c r="T806"/>
      <c r="U806" s="9"/>
      <c r="V806" s="9"/>
      <c r="W806" s="9"/>
      <c r="X806" s="9"/>
    </row>
    <row r="807" spans="1:24">
      <c r="A807" s="13" t="s">
        <v>19</v>
      </c>
      <c r="B807" s="1"/>
      <c r="C807" s="1" t="s">
        <v>29</v>
      </c>
      <c r="D807" s="3">
        <v>35000</v>
      </c>
      <c r="E807"/>
      <c r="F807"/>
      <c r="G807"/>
      <c r="H807"/>
      <c r="I807"/>
      <c r="J807"/>
      <c r="K807"/>
      <c r="L807"/>
      <c r="M807" s="18" t="s">
        <v>293</v>
      </c>
      <c r="N807" t="s">
        <v>1150</v>
      </c>
      <c r="O807" t="s">
        <v>1395</v>
      </c>
      <c r="P807" s="1" t="s">
        <v>30</v>
      </c>
      <c r="Q807" s="13" t="s">
        <v>25</v>
      </c>
      <c r="R807">
        <v>7</v>
      </c>
      <c r="S807">
        <v>5000</v>
      </c>
      <c r="T807"/>
      <c r="U807" s="9"/>
      <c r="V807" s="9"/>
      <c r="W807" s="9"/>
      <c r="X807" s="9"/>
    </row>
    <row r="808" spans="1:24">
      <c r="A808" s="13" t="s">
        <v>19</v>
      </c>
      <c r="B808" s="1"/>
      <c r="C808" s="1" t="s">
        <v>29</v>
      </c>
      <c r="D808" s="3">
        <v>5000</v>
      </c>
      <c r="E808"/>
      <c r="F808"/>
      <c r="G808"/>
      <c r="H808"/>
      <c r="I808"/>
      <c r="J808"/>
      <c r="K808"/>
      <c r="L808"/>
      <c r="M808" s="18" t="s">
        <v>293</v>
      </c>
      <c r="N808" t="s">
        <v>1150</v>
      </c>
      <c r="O808" t="s">
        <v>1395</v>
      </c>
      <c r="P808" s="1" t="s">
        <v>30</v>
      </c>
      <c r="Q808" s="13" t="s">
        <v>25</v>
      </c>
      <c r="R808">
        <v>1</v>
      </c>
      <c r="S808">
        <v>5000</v>
      </c>
      <c r="T808"/>
      <c r="U808" s="9"/>
      <c r="V808" s="9"/>
      <c r="W808" s="9"/>
      <c r="X808" s="9"/>
    </row>
    <row r="809" spans="1:24">
      <c r="A809" s="13" t="s">
        <v>19</v>
      </c>
      <c r="B809" s="1"/>
      <c r="C809" s="1" t="s">
        <v>29</v>
      </c>
      <c r="D809" s="3">
        <v>50000</v>
      </c>
      <c r="E809"/>
      <c r="F809"/>
      <c r="G809"/>
      <c r="H809"/>
      <c r="I809"/>
      <c r="J809"/>
      <c r="K809"/>
      <c r="L809"/>
      <c r="M809" s="18" t="s">
        <v>293</v>
      </c>
      <c r="N809" t="s">
        <v>1150</v>
      </c>
      <c r="O809" t="s">
        <v>1395</v>
      </c>
      <c r="P809" s="1" t="s">
        <v>30</v>
      </c>
      <c r="Q809" s="13" t="s">
        <v>25</v>
      </c>
      <c r="R809">
        <v>10</v>
      </c>
      <c r="S809">
        <v>5000</v>
      </c>
      <c r="T809"/>
      <c r="U809" s="9"/>
      <c r="V809" s="9"/>
      <c r="W809" s="9"/>
      <c r="X809" s="9"/>
    </row>
    <row r="810" spans="1:24">
      <c r="A810" s="13" t="s">
        <v>19</v>
      </c>
      <c r="B810" s="1"/>
      <c r="C810" s="1" t="s">
        <v>29</v>
      </c>
      <c r="D810" s="3">
        <v>50000</v>
      </c>
      <c r="E810"/>
      <c r="F810"/>
      <c r="G810"/>
      <c r="H810"/>
      <c r="I810"/>
      <c r="J810"/>
      <c r="K810"/>
      <c r="L810"/>
      <c r="M810" s="18" t="s">
        <v>293</v>
      </c>
      <c r="N810" t="s">
        <v>1150</v>
      </c>
      <c r="O810" t="s">
        <v>1395</v>
      </c>
      <c r="P810" s="1" t="s">
        <v>30</v>
      </c>
      <c r="Q810" s="13" t="s">
        <v>25</v>
      </c>
      <c r="R810">
        <v>10</v>
      </c>
      <c r="S810">
        <v>5000</v>
      </c>
      <c r="T810"/>
      <c r="U810" s="9"/>
      <c r="V810" s="9"/>
      <c r="W810" s="9"/>
      <c r="X810" s="9"/>
    </row>
    <row r="811" spans="1:24">
      <c r="A811" s="13" t="s">
        <v>19</v>
      </c>
      <c r="B811" s="1"/>
      <c r="C811" s="1" t="s">
        <v>29</v>
      </c>
      <c r="D811" s="3">
        <v>10000</v>
      </c>
      <c r="E811"/>
      <c r="F811"/>
      <c r="G811"/>
      <c r="H811"/>
      <c r="I811"/>
      <c r="J811"/>
      <c r="K811"/>
      <c r="L811"/>
      <c r="M811" s="18" t="s">
        <v>293</v>
      </c>
      <c r="N811" t="s">
        <v>1150</v>
      </c>
      <c r="O811" t="s">
        <v>1395</v>
      </c>
      <c r="P811" s="1" t="s">
        <v>30</v>
      </c>
      <c r="Q811" s="13" t="s">
        <v>25</v>
      </c>
      <c r="R811">
        <v>2</v>
      </c>
      <c r="S811">
        <v>5000</v>
      </c>
      <c r="T811"/>
      <c r="U811" s="9"/>
      <c r="V811" s="9"/>
      <c r="W811" s="9"/>
      <c r="X811" s="9"/>
    </row>
    <row r="812" spans="1:24">
      <c r="A812" s="13" t="s">
        <v>19</v>
      </c>
      <c r="B812" s="1"/>
      <c r="C812" s="1" t="s">
        <v>29</v>
      </c>
      <c r="D812" s="3">
        <v>70000</v>
      </c>
      <c r="E812"/>
      <c r="F812"/>
      <c r="G812"/>
      <c r="H812"/>
      <c r="I812"/>
      <c r="J812"/>
      <c r="K812"/>
      <c r="L812"/>
      <c r="M812" s="18" t="s">
        <v>293</v>
      </c>
      <c r="N812" t="s">
        <v>1150</v>
      </c>
      <c r="O812" t="s">
        <v>1395</v>
      </c>
      <c r="P812" s="1" t="s">
        <v>30</v>
      </c>
      <c r="Q812" s="13" t="s">
        <v>25</v>
      </c>
      <c r="R812">
        <v>14</v>
      </c>
      <c r="S812">
        <v>5000</v>
      </c>
      <c r="T812"/>
      <c r="U812" s="9"/>
      <c r="V812" s="9"/>
      <c r="W812" s="9"/>
      <c r="X812" s="9"/>
    </row>
    <row r="813" spans="1:24">
      <c r="A813" s="13" t="s">
        <v>19</v>
      </c>
      <c r="B813" s="1"/>
      <c r="C813" s="1" t="s">
        <v>29</v>
      </c>
      <c r="D813" s="3">
        <v>5000</v>
      </c>
      <c r="E813"/>
      <c r="F813"/>
      <c r="G813"/>
      <c r="H813"/>
      <c r="I813"/>
      <c r="J813"/>
      <c r="K813"/>
      <c r="L813"/>
      <c r="M813" s="18" t="s">
        <v>293</v>
      </c>
      <c r="N813" t="s">
        <v>1150</v>
      </c>
      <c r="O813" t="s">
        <v>1395</v>
      </c>
      <c r="P813" s="1" t="s">
        <v>30</v>
      </c>
      <c r="Q813" s="13" t="s">
        <v>25</v>
      </c>
      <c r="R813">
        <v>1</v>
      </c>
      <c r="S813">
        <v>5000</v>
      </c>
      <c r="T813"/>
      <c r="U813" s="9"/>
      <c r="V813" s="9"/>
      <c r="W813" s="9"/>
      <c r="X813" s="9"/>
    </row>
    <row r="814" spans="1:24">
      <c r="A814" s="13" t="s">
        <v>19</v>
      </c>
      <c r="B814" s="1"/>
      <c r="C814" s="1" t="s">
        <v>29</v>
      </c>
      <c r="D814" s="3">
        <v>50000</v>
      </c>
      <c r="E814"/>
      <c r="F814"/>
      <c r="G814"/>
      <c r="H814"/>
      <c r="I814"/>
      <c r="J814"/>
      <c r="K814"/>
      <c r="L814"/>
      <c r="M814" s="18" t="s">
        <v>293</v>
      </c>
      <c r="N814" t="s">
        <v>1150</v>
      </c>
      <c r="O814" t="s">
        <v>1395</v>
      </c>
      <c r="P814" s="1" t="s">
        <v>760</v>
      </c>
      <c r="Q814" s="13" t="s">
        <v>25</v>
      </c>
      <c r="R814">
        <v>10</v>
      </c>
      <c r="S814">
        <v>5000</v>
      </c>
      <c r="T814"/>
      <c r="U814" s="9"/>
      <c r="V814" s="9"/>
      <c r="W814" s="9"/>
      <c r="X814" s="9"/>
    </row>
    <row r="815" spans="1:24">
      <c r="A815" s="13" t="s">
        <v>19</v>
      </c>
      <c r="B815" s="1"/>
      <c r="C815" s="1" t="s">
        <v>29</v>
      </c>
      <c r="D815" s="3">
        <v>20000</v>
      </c>
      <c r="E815"/>
      <c r="F815"/>
      <c r="G815"/>
      <c r="H815"/>
      <c r="I815"/>
      <c r="J815"/>
      <c r="K815"/>
      <c r="L815"/>
      <c r="M815" s="18" t="s">
        <v>293</v>
      </c>
      <c r="N815" t="s">
        <v>1150</v>
      </c>
      <c r="O815" t="s">
        <v>1395</v>
      </c>
      <c r="P815" s="1" t="s">
        <v>30</v>
      </c>
      <c r="Q815" s="13" t="s">
        <v>25</v>
      </c>
      <c r="R815">
        <v>4</v>
      </c>
      <c r="S815">
        <v>5000</v>
      </c>
      <c r="T815"/>
      <c r="U815" s="9"/>
      <c r="V815" s="9"/>
      <c r="W815" s="9"/>
      <c r="X815" s="9"/>
    </row>
    <row r="816" spans="1:24">
      <c r="A816" s="13" t="s">
        <v>19</v>
      </c>
      <c r="B816" s="1"/>
      <c r="C816" s="1" t="s">
        <v>32</v>
      </c>
      <c r="D816" s="3">
        <v>5000</v>
      </c>
      <c r="E816"/>
      <c r="F816"/>
      <c r="G816"/>
      <c r="H816"/>
      <c r="I816"/>
      <c r="J816"/>
      <c r="K816"/>
      <c r="L816"/>
      <c r="M816" s="18" t="s">
        <v>293</v>
      </c>
      <c r="N816" t="s">
        <v>1150</v>
      </c>
      <c r="O816" t="s">
        <v>1395</v>
      </c>
      <c r="P816" s="1" t="s">
        <v>620</v>
      </c>
      <c r="Q816" s="13" t="s">
        <v>25</v>
      </c>
      <c r="R816">
        <v>1</v>
      </c>
      <c r="S816">
        <v>5000</v>
      </c>
      <c r="T816"/>
      <c r="U816" s="9"/>
      <c r="V816" s="9"/>
      <c r="W816" s="9"/>
      <c r="X816" s="9"/>
    </row>
    <row r="817" spans="1:24">
      <c r="A817" s="13" t="s">
        <v>19</v>
      </c>
      <c r="B817" s="1"/>
      <c r="C817" s="1" t="s">
        <v>32</v>
      </c>
      <c r="D817" s="3">
        <v>5000</v>
      </c>
      <c r="E817"/>
      <c r="F817"/>
      <c r="G817"/>
      <c r="H817"/>
      <c r="I817"/>
      <c r="J817"/>
      <c r="K817"/>
      <c r="L817"/>
      <c r="M817" s="18" t="s">
        <v>293</v>
      </c>
      <c r="N817" t="s">
        <v>1150</v>
      </c>
      <c r="O817" t="s">
        <v>1395</v>
      </c>
      <c r="P817" s="1" t="s">
        <v>601</v>
      </c>
      <c r="Q817" s="13" t="s">
        <v>25</v>
      </c>
      <c r="R817">
        <v>1</v>
      </c>
      <c r="S817">
        <v>5000</v>
      </c>
      <c r="T817"/>
      <c r="U817" s="9"/>
      <c r="V817" s="9"/>
      <c r="W817" s="9"/>
      <c r="X817" s="9"/>
    </row>
    <row r="818" spans="1:24">
      <c r="A818" s="13" t="s">
        <v>19</v>
      </c>
      <c r="B818" s="1"/>
      <c r="C818" s="1" t="s">
        <v>32</v>
      </c>
      <c r="D818" s="3">
        <v>5000</v>
      </c>
      <c r="E818"/>
      <c r="F818"/>
      <c r="G818"/>
      <c r="H818"/>
      <c r="I818"/>
      <c r="J818"/>
      <c r="K818"/>
      <c r="L818"/>
      <c r="M818" s="18" t="s">
        <v>293</v>
      </c>
      <c r="N818" t="s">
        <v>1150</v>
      </c>
      <c r="O818" t="s">
        <v>1395</v>
      </c>
      <c r="P818" s="1" t="s">
        <v>710</v>
      </c>
      <c r="Q818" s="13" t="s">
        <v>25</v>
      </c>
      <c r="R818">
        <v>1</v>
      </c>
      <c r="S818">
        <v>5000</v>
      </c>
      <c r="T818"/>
      <c r="U818" s="9"/>
      <c r="V818" s="9"/>
      <c r="W818" s="9"/>
      <c r="X818" s="9"/>
    </row>
    <row r="819" spans="1:24">
      <c r="A819" s="13" t="s">
        <v>19</v>
      </c>
      <c r="B819" s="1"/>
      <c r="C819" s="1" t="s">
        <v>32</v>
      </c>
      <c r="D819" s="3">
        <v>10000</v>
      </c>
      <c r="E819"/>
      <c r="F819"/>
      <c r="G819"/>
      <c r="H819"/>
      <c r="I819"/>
      <c r="J819"/>
      <c r="K819"/>
      <c r="L819"/>
      <c r="M819" s="18" t="s">
        <v>293</v>
      </c>
      <c r="N819" t="s">
        <v>1150</v>
      </c>
      <c r="O819" t="s">
        <v>1395</v>
      </c>
      <c r="P819" s="1" t="s">
        <v>761</v>
      </c>
      <c r="Q819" s="13" t="s">
        <v>25</v>
      </c>
      <c r="R819">
        <v>2</v>
      </c>
      <c r="S819">
        <v>5000</v>
      </c>
      <c r="T819"/>
      <c r="U819" s="9"/>
      <c r="V819" s="9"/>
      <c r="W819" s="9"/>
      <c r="X819" s="9"/>
    </row>
    <row r="820" spans="1:24">
      <c r="A820" s="13" t="s">
        <v>19</v>
      </c>
      <c r="B820" s="1"/>
      <c r="C820" s="1" t="s">
        <v>68</v>
      </c>
      <c r="D820" s="3">
        <v>30000</v>
      </c>
      <c r="E820"/>
      <c r="F820"/>
      <c r="G820"/>
      <c r="H820"/>
      <c r="I820"/>
      <c r="J820"/>
      <c r="K820"/>
      <c r="L820"/>
      <c r="M820" s="18" t="s">
        <v>293</v>
      </c>
      <c r="N820" t="s">
        <v>1150</v>
      </c>
      <c r="O820" t="s">
        <v>1395</v>
      </c>
      <c r="P820" s="1" t="s">
        <v>68</v>
      </c>
      <c r="Q820" s="13" t="s">
        <v>25</v>
      </c>
      <c r="R820">
        <v>1</v>
      </c>
      <c r="S820">
        <v>30000</v>
      </c>
      <c r="T820"/>
      <c r="U820" s="9"/>
      <c r="V820" s="9"/>
      <c r="W820" s="9"/>
      <c r="X820" s="9"/>
    </row>
    <row r="821" spans="1:24">
      <c r="A821" s="13" t="s">
        <v>19</v>
      </c>
      <c r="B821" s="1"/>
      <c r="C821" s="1" t="s">
        <v>66</v>
      </c>
      <c r="D821" s="3">
        <v>10000</v>
      </c>
      <c r="E821"/>
      <c r="F821"/>
      <c r="G821"/>
      <c r="H821"/>
      <c r="I821"/>
      <c r="J821"/>
      <c r="K821"/>
      <c r="L821"/>
      <c r="M821" s="18" t="s">
        <v>293</v>
      </c>
      <c r="N821" t="s">
        <v>1150</v>
      </c>
      <c r="O821" t="s">
        <v>1395</v>
      </c>
      <c r="P821" s="1" t="s">
        <v>66</v>
      </c>
      <c r="Q821" s="13" t="s">
        <v>25</v>
      </c>
      <c r="R821">
        <v>1</v>
      </c>
      <c r="S821">
        <v>10000</v>
      </c>
      <c r="T821"/>
      <c r="U821" s="9"/>
      <c r="V821" s="9"/>
      <c r="W821" s="9"/>
      <c r="X821" s="9"/>
    </row>
    <row r="822" spans="1:24">
      <c r="A822" s="13" t="s">
        <v>19</v>
      </c>
      <c r="B822" s="1"/>
      <c r="C822" s="1" t="s">
        <v>69</v>
      </c>
      <c r="D822" s="3">
        <v>60000</v>
      </c>
      <c r="E822"/>
      <c r="F822"/>
      <c r="G822"/>
      <c r="H822"/>
      <c r="I822"/>
      <c r="J822"/>
      <c r="K822"/>
      <c r="L822"/>
      <c r="M822" s="18" t="s">
        <v>293</v>
      </c>
      <c r="N822" t="s">
        <v>1150</v>
      </c>
      <c r="O822" t="s">
        <v>1395</v>
      </c>
      <c r="P822" s="1" t="s">
        <v>69</v>
      </c>
      <c r="Q822" s="13" t="s">
        <v>25</v>
      </c>
      <c r="R822">
        <v>1</v>
      </c>
      <c r="S822">
        <v>60000</v>
      </c>
      <c r="T822"/>
      <c r="U822" s="9"/>
      <c r="V822" s="9"/>
      <c r="W822" s="9"/>
      <c r="X822" s="9"/>
    </row>
    <row r="823" spans="1:24">
      <c r="A823" s="13"/>
      <c r="B823" s="1"/>
      <c r="C823" s="1"/>
      <c r="D823" s="3" t="str">
        <f>SUBTOTAL(9,D792:D822)</f>
        <v>0</v>
      </c>
      <c r="E823"/>
      <c r="F823"/>
      <c r="G823"/>
      <c r="H823"/>
      <c r="I823"/>
      <c r="J823"/>
      <c r="K823"/>
      <c r="L823"/>
      <c r="M823" s="18" t="s">
        <v>294</v>
      </c>
      <c r="N823" t="s">
        <v>1492</v>
      </c>
      <c r="O823" t="s">
        <v>1395</v>
      </c>
      <c r="P823" s="1"/>
      <c r="Q823" s="13"/>
      <c r="R823"/>
      <c r="S823"/>
      <c r="T823"/>
      <c r="U823" s="9"/>
      <c r="V823" s="9"/>
      <c r="W823" s="9"/>
      <c r="X823" s="9"/>
    </row>
    <row r="824" spans="1:24">
      <c r="A824" s="13" t="s">
        <v>19</v>
      </c>
      <c r="B824" s="1"/>
      <c r="C824" s="1" t="s">
        <v>20</v>
      </c>
      <c r="D824" s="3">
        <v>64000</v>
      </c>
      <c r="E824"/>
      <c r="F824"/>
      <c r="G824"/>
      <c r="H824"/>
      <c r="I824"/>
      <c r="J824"/>
      <c r="K824"/>
      <c r="L824"/>
      <c r="M824" s="18" t="s">
        <v>295</v>
      </c>
      <c r="N824" t="s">
        <v>1165</v>
      </c>
      <c r="O824"/>
      <c r="P824" s="1" t="s">
        <v>24</v>
      </c>
      <c r="Q824" s="13" t="s">
        <v>25</v>
      </c>
      <c r="R824">
        <v>2</v>
      </c>
      <c r="S824">
        <v>32000</v>
      </c>
      <c r="T824"/>
      <c r="U824" s="9"/>
      <c r="V824" s="9"/>
      <c r="W824" s="9"/>
      <c r="X824" s="9"/>
    </row>
    <row r="825" spans="1:24">
      <c r="A825" s="13" t="s">
        <v>19</v>
      </c>
      <c r="B825" s="1"/>
      <c r="C825" s="1" t="s">
        <v>20</v>
      </c>
      <c r="D825" s="3">
        <v>64000</v>
      </c>
      <c r="E825"/>
      <c r="F825"/>
      <c r="G825"/>
      <c r="H825"/>
      <c r="I825"/>
      <c r="J825"/>
      <c r="K825"/>
      <c r="L825"/>
      <c r="M825" s="18" t="s">
        <v>295</v>
      </c>
      <c r="N825" t="s">
        <v>1165</v>
      </c>
      <c r="O825"/>
      <c r="P825" s="1" t="s">
        <v>762</v>
      </c>
      <c r="Q825" s="13" t="s">
        <v>25</v>
      </c>
      <c r="R825">
        <v>2</v>
      </c>
      <c r="S825">
        <v>32000</v>
      </c>
      <c r="T825"/>
      <c r="U825" s="9"/>
      <c r="V825" s="9"/>
      <c r="W825" s="9"/>
      <c r="X825" s="9"/>
    </row>
    <row r="826" spans="1:24">
      <c r="A826" s="13" t="s">
        <v>19</v>
      </c>
      <c r="B826" s="1"/>
      <c r="C826" s="1" t="s">
        <v>29</v>
      </c>
      <c r="D826" s="3">
        <v>10000</v>
      </c>
      <c r="E826"/>
      <c r="F826"/>
      <c r="G826"/>
      <c r="H826"/>
      <c r="I826"/>
      <c r="J826"/>
      <c r="K826"/>
      <c r="L826"/>
      <c r="M826" s="18" t="s">
        <v>295</v>
      </c>
      <c r="N826" t="s">
        <v>1165</v>
      </c>
      <c r="O826"/>
      <c r="P826" s="1" t="s">
        <v>30</v>
      </c>
      <c r="Q826" s="13" t="s">
        <v>25</v>
      </c>
      <c r="R826">
        <v>2</v>
      </c>
      <c r="S826">
        <v>5000</v>
      </c>
      <c r="T826"/>
      <c r="U826" s="9"/>
      <c r="V826" s="9"/>
      <c r="W826" s="9"/>
      <c r="X826" s="9"/>
    </row>
    <row r="827" spans="1:24">
      <c r="A827" s="13" t="s">
        <v>19</v>
      </c>
      <c r="B827" s="1"/>
      <c r="C827" s="1" t="s">
        <v>29</v>
      </c>
      <c r="D827" s="3">
        <v>10000</v>
      </c>
      <c r="E827"/>
      <c r="F827"/>
      <c r="G827"/>
      <c r="H827"/>
      <c r="I827"/>
      <c r="J827"/>
      <c r="K827"/>
      <c r="L827"/>
      <c r="M827" s="18" t="s">
        <v>295</v>
      </c>
      <c r="N827" t="s">
        <v>1165</v>
      </c>
      <c r="O827"/>
      <c r="P827" s="1" t="s">
        <v>763</v>
      </c>
      <c r="Q827" s="13" t="s">
        <v>25</v>
      </c>
      <c r="R827">
        <v>2</v>
      </c>
      <c r="S827">
        <v>5000</v>
      </c>
      <c r="T827"/>
      <c r="U827" s="9"/>
      <c r="V827" s="9"/>
      <c r="W827" s="9"/>
      <c r="X827" s="9"/>
    </row>
    <row r="828" spans="1:24">
      <c r="A828" s="13"/>
      <c r="B828" s="1"/>
      <c r="C828" s="1"/>
      <c r="D828" s="3" t="str">
        <f>SUBTOTAL(9,D824:D827)</f>
        <v>0</v>
      </c>
      <c r="E828"/>
      <c r="F828"/>
      <c r="G828"/>
      <c r="H828"/>
      <c r="I828"/>
      <c r="J828"/>
      <c r="K828"/>
      <c r="L828"/>
      <c r="M828" s="18" t="s">
        <v>296</v>
      </c>
      <c r="N828" t="s">
        <v>1493</v>
      </c>
      <c r="O828"/>
      <c r="P828" s="1"/>
      <c r="Q828" s="13"/>
      <c r="R828"/>
      <c r="S828"/>
      <c r="T828"/>
      <c r="U828" s="9"/>
      <c r="V828" s="9"/>
      <c r="W828" s="9"/>
      <c r="X828" s="9"/>
    </row>
    <row r="829" spans="1:24">
      <c r="A829" s="13" t="s">
        <v>19</v>
      </c>
      <c r="B829" s="1"/>
      <c r="C829" s="1" t="s">
        <v>20</v>
      </c>
      <c r="D829" s="3">
        <v>64000</v>
      </c>
      <c r="E829"/>
      <c r="F829"/>
      <c r="G829"/>
      <c r="H829"/>
      <c r="I829"/>
      <c r="J829"/>
      <c r="K829"/>
      <c r="L829"/>
      <c r="M829" s="18" t="s">
        <v>297</v>
      </c>
      <c r="N829" t="s">
        <v>1210</v>
      </c>
      <c r="O829" t="s">
        <v>1395</v>
      </c>
      <c r="P829" s="1" t="s">
        <v>764</v>
      </c>
      <c r="Q829" s="13" t="s">
        <v>25</v>
      </c>
      <c r="R829">
        <v>2</v>
      </c>
      <c r="S829">
        <v>32000</v>
      </c>
      <c r="T829"/>
      <c r="U829" s="9"/>
      <c r="V829" s="9"/>
      <c r="W829" s="9"/>
      <c r="X829" s="9"/>
    </row>
    <row r="830" spans="1:24">
      <c r="A830" s="13" t="s">
        <v>19</v>
      </c>
      <c r="B830" s="1"/>
      <c r="C830" s="1" t="s">
        <v>20</v>
      </c>
      <c r="D830" s="3">
        <v>96000</v>
      </c>
      <c r="E830"/>
      <c r="F830"/>
      <c r="G830"/>
      <c r="H830"/>
      <c r="I830"/>
      <c r="J830"/>
      <c r="K830"/>
      <c r="L830"/>
      <c r="M830" s="18" t="s">
        <v>297</v>
      </c>
      <c r="N830" t="s">
        <v>1210</v>
      </c>
      <c r="O830" t="s">
        <v>1395</v>
      </c>
      <c r="P830" s="1" t="s">
        <v>527</v>
      </c>
      <c r="Q830" s="13" t="s">
        <v>25</v>
      </c>
      <c r="R830">
        <v>3</v>
      </c>
      <c r="S830">
        <v>32000</v>
      </c>
      <c r="T830"/>
      <c r="U830" s="9"/>
      <c r="V830" s="9"/>
      <c r="W830" s="9"/>
      <c r="X830" s="9"/>
    </row>
    <row r="831" spans="1:24">
      <c r="A831" s="13" t="s">
        <v>19</v>
      </c>
      <c r="B831" s="1"/>
      <c r="C831" s="1" t="s">
        <v>20</v>
      </c>
      <c r="D831" s="3">
        <v>64000</v>
      </c>
      <c r="E831"/>
      <c r="F831"/>
      <c r="G831"/>
      <c r="H831"/>
      <c r="I831"/>
      <c r="J831"/>
      <c r="K831"/>
      <c r="L831"/>
      <c r="M831" s="18" t="s">
        <v>297</v>
      </c>
      <c r="N831" t="s">
        <v>1210</v>
      </c>
      <c r="O831" t="s">
        <v>1395</v>
      </c>
      <c r="P831" s="1" t="s">
        <v>545</v>
      </c>
      <c r="Q831" s="13" t="s">
        <v>25</v>
      </c>
      <c r="R831">
        <v>2</v>
      </c>
      <c r="S831">
        <v>32000</v>
      </c>
      <c r="T831"/>
      <c r="U831" s="9"/>
      <c r="V831" s="9"/>
      <c r="W831" s="9"/>
      <c r="X831" s="9"/>
    </row>
    <row r="832" spans="1:24">
      <c r="A832" s="13" t="s">
        <v>19</v>
      </c>
      <c r="B832" s="1"/>
      <c r="C832" s="1" t="s">
        <v>20</v>
      </c>
      <c r="D832" s="3">
        <v>64000</v>
      </c>
      <c r="E832"/>
      <c r="F832"/>
      <c r="G832"/>
      <c r="H832"/>
      <c r="I832"/>
      <c r="J832"/>
      <c r="K832"/>
      <c r="L832"/>
      <c r="M832" s="18" t="s">
        <v>297</v>
      </c>
      <c r="N832" t="s">
        <v>1210</v>
      </c>
      <c r="O832" t="s">
        <v>1395</v>
      </c>
      <c r="P832" s="1" t="s">
        <v>583</v>
      </c>
      <c r="Q832" s="13" t="s">
        <v>25</v>
      </c>
      <c r="R832">
        <v>2</v>
      </c>
      <c r="S832">
        <v>32000</v>
      </c>
      <c r="T832"/>
      <c r="U832" s="9"/>
      <c r="V832" s="9"/>
      <c r="W832" s="9"/>
      <c r="X832" s="9"/>
    </row>
    <row r="833" spans="1:24">
      <c r="A833" s="13" t="s">
        <v>19</v>
      </c>
      <c r="B833" s="1"/>
      <c r="C833" s="1" t="s">
        <v>20</v>
      </c>
      <c r="D833" s="3">
        <v>64000</v>
      </c>
      <c r="E833"/>
      <c r="F833"/>
      <c r="G833"/>
      <c r="H833"/>
      <c r="I833"/>
      <c r="J833"/>
      <c r="K833"/>
      <c r="L833"/>
      <c r="M833" s="18" t="s">
        <v>297</v>
      </c>
      <c r="N833" t="s">
        <v>1210</v>
      </c>
      <c r="O833" t="s">
        <v>1395</v>
      </c>
      <c r="P833" s="1" t="s">
        <v>547</v>
      </c>
      <c r="Q833" s="13" t="s">
        <v>25</v>
      </c>
      <c r="R833">
        <v>2</v>
      </c>
      <c r="S833">
        <v>32000</v>
      </c>
      <c r="T833"/>
      <c r="U833" s="9"/>
      <c r="V833" s="9"/>
      <c r="W833" s="9"/>
      <c r="X833" s="9"/>
    </row>
    <row r="834" spans="1:24">
      <c r="A834" s="13" t="s">
        <v>19</v>
      </c>
      <c r="B834" s="1"/>
      <c r="C834" s="1" t="s">
        <v>26</v>
      </c>
      <c r="D834" s="3">
        <v>64000</v>
      </c>
      <c r="E834"/>
      <c r="F834"/>
      <c r="G834"/>
      <c r="H834"/>
      <c r="I834"/>
      <c r="J834"/>
      <c r="K834"/>
      <c r="L834"/>
      <c r="M834" s="18" t="s">
        <v>297</v>
      </c>
      <c r="N834" t="s">
        <v>1210</v>
      </c>
      <c r="O834" t="s">
        <v>1395</v>
      </c>
      <c r="P834" s="1" t="s">
        <v>765</v>
      </c>
      <c r="Q834" s="13" t="s">
        <v>25</v>
      </c>
      <c r="R834">
        <v>2</v>
      </c>
      <c r="S834">
        <v>32000</v>
      </c>
      <c r="T834"/>
      <c r="U834" s="9"/>
      <c r="V834" s="9"/>
      <c r="W834" s="9"/>
      <c r="X834" s="9"/>
    </row>
    <row r="835" spans="1:24">
      <c r="A835" s="13" t="s">
        <v>19</v>
      </c>
      <c r="B835" s="1"/>
      <c r="C835" s="1" t="s">
        <v>26</v>
      </c>
      <c r="D835" s="3">
        <v>32000</v>
      </c>
      <c r="E835"/>
      <c r="F835"/>
      <c r="G835"/>
      <c r="H835"/>
      <c r="I835"/>
      <c r="J835"/>
      <c r="K835"/>
      <c r="L835"/>
      <c r="M835" s="18" t="s">
        <v>297</v>
      </c>
      <c r="N835" t="s">
        <v>1210</v>
      </c>
      <c r="O835" t="s">
        <v>1395</v>
      </c>
      <c r="P835" s="1" t="s">
        <v>766</v>
      </c>
      <c r="Q835" s="13" t="s">
        <v>25</v>
      </c>
      <c r="R835">
        <v>1</v>
      </c>
      <c r="S835">
        <v>32000</v>
      </c>
      <c r="T835"/>
      <c r="U835" s="9"/>
      <c r="V835" s="9"/>
      <c r="W835" s="9"/>
      <c r="X835" s="9"/>
    </row>
    <row r="836" spans="1:24">
      <c r="A836" s="13" t="s">
        <v>19</v>
      </c>
      <c r="B836" s="1"/>
      <c r="C836" s="1" t="s">
        <v>26</v>
      </c>
      <c r="D836" s="3">
        <v>32000</v>
      </c>
      <c r="E836"/>
      <c r="F836"/>
      <c r="G836"/>
      <c r="H836"/>
      <c r="I836"/>
      <c r="J836"/>
      <c r="K836"/>
      <c r="L836"/>
      <c r="M836" s="18" t="s">
        <v>297</v>
      </c>
      <c r="N836" t="s">
        <v>1210</v>
      </c>
      <c r="O836" t="s">
        <v>1395</v>
      </c>
      <c r="P836" s="1" t="s">
        <v>767</v>
      </c>
      <c r="Q836" s="13" t="s">
        <v>25</v>
      </c>
      <c r="R836">
        <v>1</v>
      </c>
      <c r="S836">
        <v>32000</v>
      </c>
      <c r="T836"/>
      <c r="U836" s="9"/>
      <c r="V836" s="9"/>
      <c r="W836" s="9"/>
      <c r="X836" s="9"/>
    </row>
    <row r="837" spans="1:24">
      <c r="A837" s="13" t="s">
        <v>19</v>
      </c>
      <c r="B837" s="1"/>
      <c r="C837" s="1" t="s">
        <v>26</v>
      </c>
      <c r="D837" s="3">
        <v>32000</v>
      </c>
      <c r="E837"/>
      <c r="F837"/>
      <c r="G837"/>
      <c r="H837"/>
      <c r="I837"/>
      <c r="J837"/>
      <c r="K837"/>
      <c r="L837"/>
      <c r="M837" s="18" t="s">
        <v>297</v>
      </c>
      <c r="N837" t="s">
        <v>1210</v>
      </c>
      <c r="O837" t="s">
        <v>1395</v>
      </c>
      <c r="P837" s="1" t="s">
        <v>768</v>
      </c>
      <c r="Q837" s="13" t="s">
        <v>25</v>
      </c>
      <c r="R837">
        <v>1</v>
      </c>
      <c r="S837">
        <v>32000</v>
      </c>
      <c r="T837"/>
      <c r="U837" s="9"/>
      <c r="V837" s="9"/>
      <c r="W837" s="9"/>
      <c r="X837" s="9"/>
    </row>
    <row r="838" spans="1:24">
      <c r="A838" s="13" t="s">
        <v>19</v>
      </c>
      <c r="B838" s="1"/>
      <c r="C838" s="1" t="s">
        <v>26</v>
      </c>
      <c r="D838" s="3">
        <v>64000</v>
      </c>
      <c r="E838"/>
      <c r="F838"/>
      <c r="G838"/>
      <c r="H838"/>
      <c r="I838"/>
      <c r="J838"/>
      <c r="K838"/>
      <c r="L838"/>
      <c r="M838" s="18" t="s">
        <v>297</v>
      </c>
      <c r="N838" t="s">
        <v>1210</v>
      </c>
      <c r="O838" t="s">
        <v>1395</v>
      </c>
      <c r="P838" s="1" t="s">
        <v>769</v>
      </c>
      <c r="Q838" s="13" t="s">
        <v>25</v>
      </c>
      <c r="R838">
        <v>2</v>
      </c>
      <c r="S838">
        <v>32000</v>
      </c>
      <c r="T838"/>
      <c r="U838" s="9"/>
      <c r="V838" s="9"/>
      <c r="W838" s="9"/>
      <c r="X838" s="9"/>
    </row>
    <row r="839" spans="1:24">
      <c r="A839" s="13" t="s">
        <v>19</v>
      </c>
      <c r="B839" s="1"/>
      <c r="C839" s="1" t="s">
        <v>26</v>
      </c>
      <c r="D839" s="3">
        <v>32000</v>
      </c>
      <c r="E839"/>
      <c r="F839"/>
      <c r="G839"/>
      <c r="H839"/>
      <c r="I839"/>
      <c r="J839"/>
      <c r="K839"/>
      <c r="L839"/>
      <c r="M839" s="18" t="s">
        <v>297</v>
      </c>
      <c r="N839" t="s">
        <v>1210</v>
      </c>
      <c r="O839" t="s">
        <v>1395</v>
      </c>
      <c r="P839" s="1" t="s">
        <v>770</v>
      </c>
      <c r="Q839" s="13" t="s">
        <v>25</v>
      </c>
      <c r="R839">
        <v>1</v>
      </c>
      <c r="S839">
        <v>32000</v>
      </c>
      <c r="T839"/>
      <c r="U839" s="9"/>
      <c r="V839" s="9"/>
      <c r="W839" s="9"/>
      <c r="X839" s="9"/>
    </row>
    <row r="840" spans="1:24">
      <c r="A840" s="13" t="s">
        <v>19</v>
      </c>
      <c r="B840" s="1"/>
      <c r="C840" s="1" t="s">
        <v>29</v>
      </c>
      <c r="D840" s="3">
        <v>10000</v>
      </c>
      <c r="E840"/>
      <c r="F840"/>
      <c r="G840"/>
      <c r="H840"/>
      <c r="I840"/>
      <c r="J840"/>
      <c r="K840"/>
      <c r="L840"/>
      <c r="M840" s="18" t="s">
        <v>297</v>
      </c>
      <c r="N840" t="s">
        <v>1210</v>
      </c>
      <c r="O840" t="s">
        <v>1395</v>
      </c>
      <c r="P840" s="1" t="s">
        <v>771</v>
      </c>
      <c r="Q840" s="13" t="s">
        <v>25</v>
      </c>
      <c r="R840">
        <v>2</v>
      </c>
      <c r="S840">
        <v>5000</v>
      </c>
      <c r="T840"/>
      <c r="U840" s="9"/>
      <c r="V840" s="9"/>
      <c r="W840" s="9"/>
      <c r="X840" s="9"/>
    </row>
    <row r="841" spans="1:24">
      <c r="A841" s="13" t="s">
        <v>19</v>
      </c>
      <c r="B841" s="1"/>
      <c r="C841" s="1" t="s">
        <v>29</v>
      </c>
      <c r="D841" s="3">
        <v>15000</v>
      </c>
      <c r="E841"/>
      <c r="F841"/>
      <c r="G841"/>
      <c r="H841"/>
      <c r="I841"/>
      <c r="J841"/>
      <c r="K841"/>
      <c r="L841"/>
      <c r="M841" s="18" t="s">
        <v>297</v>
      </c>
      <c r="N841" t="s">
        <v>1210</v>
      </c>
      <c r="O841" t="s">
        <v>1395</v>
      </c>
      <c r="P841" s="1" t="s">
        <v>529</v>
      </c>
      <c r="Q841" s="13" t="s">
        <v>25</v>
      </c>
      <c r="R841">
        <v>3</v>
      </c>
      <c r="S841">
        <v>5000</v>
      </c>
      <c r="T841"/>
      <c r="U841" s="9"/>
      <c r="V841" s="9"/>
      <c r="W841" s="9"/>
      <c r="X841" s="9"/>
    </row>
    <row r="842" spans="1:24">
      <c r="A842" s="13" t="s">
        <v>19</v>
      </c>
      <c r="B842" s="1"/>
      <c r="C842" s="1" t="s">
        <v>29</v>
      </c>
      <c r="D842" s="3">
        <v>10000</v>
      </c>
      <c r="E842"/>
      <c r="F842"/>
      <c r="G842"/>
      <c r="H842"/>
      <c r="I842"/>
      <c r="J842"/>
      <c r="K842"/>
      <c r="L842"/>
      <c r="M842" s="18" t="s">
        <v>297</v>
      </c>
      <c r="N842" t="s">
        <v>1210</v>
      </c>
      <c r="O842" t="s">
        <v>1395</v>
      </c>
      <c r="P842" s="1" t="s">
        <v>550</v>
      </c>
      <c r="Q842" s="13" t="s">
        <v>25</v>
      </c>
      <c r="R842">
        <v>2</v>
      </c>
      <c r="S842">
        <v>5000</v>
      </c>
      <c r="T842"/>
      <c r="U842" s="9"/>
      <c r="V842" s="9"/>
      <c r="W842" s="9"/>
      <c r="X842" s="9"/>
    </row>
    <row r="843" spans="1:24">
      <c r="A843" s="13" t="s">
        <v>19</v>
      </c>
      <c r="B843" s="1"/>
      <c r="C843" s="1" t="s">
        <v>29</v>
      </c>
      <c r="D843" s="3">
        <v>10000</v>
      </c>
      <c r="E843"/>
      <c r="F843"/>
      <c r="G843"/>
      <c r="H843"/>
      <c r="I843"/>
      <c r="J843"/>
      <c r="K843"/>
      <c r="L843"/>
      <c r="M843" s="18" t="s">
        <v>297</v>
      </c>
      <c r="N843" t="s">
        <v>1210</v>
      </c>
      <c r="O843" t="s">
        <v>1395</v>
      </c>
      <c r="P843" s="1" t="s">
        <v>594</v>
      </c>
      <c r="Q843" s="13" t="s">
        <v>25</v>
      </c>
      <c r="R843">
        <v>2</v>
      </c>
      <c r="S843">
        <v>5000</v>
      </c>
      <c r="T843"/>
      <c r="U843" s="9"/>
      <c r="V843" s="9"/>
      <c r="W843" s="9"/>
      <c r="X843" s="9"/>
    </row>
    <row r="844" spans="1:24">
      <c r="A844" s="13" t="s">
        <v>19</v>
      </c>
      <c r="B844" s="1"/>
      <c r="C844" s="1" t="s">
        <v>29</v>
      </c>
      <c r="D844" s="3">
        <v>10000</v>
      </c>
      <c r="E844"/>
      <c r="F844"/>
      <c r="G844"/>
      <c r="H844"/>
      <c r="I844"/>
      <c r="J844"/>
      <c r="K844"/>
      <c r="L844"/>
      <c r="M844" s="18" t="s">
        <v>297</v>
      </c>
      <c r="N844" t="s">
        <v>1210</v>
      </c>
      <c r="O844" t="s">
        <v>1395</v>
      </c>
      <c r="P844" s="1" t="s">
        <v>552</v>
      </c>
      <c r="Q844" s="13" t="s">
        <v>25</v>
      </c>
      <c r="R844">
        <v>2</v>
      </c>
      <c r="S844">
        <v>5000</v>
      </c>
      <c r="T844"/>
      <c r="U844" s="9"/>
      <c r="V844" s="9"/>
      <c r="W844" s="9"/>
      <c r="X844" s="9"/>
    </row>
    <row r="845" spans="1:24">
      <c r="A845" s="13" t="s">
        <v>19</v>
      </c>
      <c r="B845" s="1"/>
      <c r="C845" s="1" t="s">
        <v>32</v>
      </c>
      <c r="D845" s="3">
        <v>10000</v>
      </c>
      <c r="E845"/>
      <c r="F845"/>
      <c r="G845"/>
      <c r="H845"/>
      <c r="I845"/>
      <c r="J845"/>
      <c r="K845"/>
      <c r="L845"/>
      <c r="M845" s="18" t="s">
        <v>297</v>
      </c>
      <c r="N845" t="s">
        <v>1210</v>
      </c>
      <c r="O845" t="s">
        <v>1395</v>
      </c>
      <c r="P845" s="1" t="s">
        <v>772</v>
      </c>
      <c r="Q845" s="13" t="s">
        <v>25</v>
      </c>
      <c r="R845">
        <v>2</v>
      </c>
      <c r="S845">
        <v>5000</v>
      </c>
      <c r="T845"/>
      <c r="U845" s="9"/>
      <c r="V845" s="9"/>
      <c r="W845" s="9"/>
      <c r="X845" s="9"/>
    </row>
    <row r="846" spans="1:24">
      <c r="A846" s="13" t="s">
        <v>19</v>
      </c>
      <c r="B846" s="1"/>
      <c r="C846" s="1" t="s">
        <v>32</v>
      </c>
      <c r="D846" s="3">
        <v>5000</v>
      </c>
      <c r="E846"/>
      <c r="F846"/>
      <c r="G846"/>
      <c r="H846"/>
      <c r="I846"/>
      <c r="J846"/>
      <c r="K846"/>
      <c r="L846"/>
      <c r="M846" s="18" t="s">
        <v>297</v>
      </c>
      <c r="N846" t="s">
        <v>1210</v>
      </c>
      <c r="O846" t="s">
        <v>1395</v>
      </c>
      <c r="P846" s="1" t="s">
        <v>773</v>
      </c>
      <c r="Q846" s="13" t="s">
        <v>25</v>
      </c>
      <c r="R846">
        <v>1</v>
      </c>
      <c r="S846">
        <v>5000</v>
      </c>
      <c r="T846"/>
      <c r="U846" s="9"/>
      <c r="V846" s="9"/>
      <c r="W846" s="9"/>
      <c r="X846" s="9"/>
    </row>
    <row r="847" spans="1:24">
      <c r="A847" s="13" t="s">
        <v>19</v>
      </c>
      <c r="B847" s="1"/>
      <c r="C847" s="1" t="s">
        <v>32</v>
      </c>
      <c r="D847" s="3">
        <v>5000</v>
      </c>
      <c r="E847"/>
      <c r="F847"/>
      <c r="G847"/>
      <c r="H847"/>
      <c r="I847"/>
      <c r="J847"/>
      <c r="K847"/>
      <c r="L847"/>
      <c r="M847" s="18" t="s">
        <v>297</v>
      </c>
      <c r="N847" t="s">
        <v>1210</v>
      </c>
      <c r="O847" t="s">
        <v>1395</v>
      </c>
      <c r="P847" s="1" t="s">
        <v>774</v>
      </c>
      <c r="Q847" s="13" t="s">
        <v>25</v>
      </c>
      <c r="R847">
        <v>1</v>
      </c>
      <c r="S847">
        <v>5000</v>
      </c>
      <c r="T847"/>
      <c r="U847" s="9"/>
      <c r="V847" s="9"/>
      <c r="W847" s="9"/>
      <c r="X847" s="9"/>
    </row>
    <row r="848" spans="1:24">
      <c r="A848" s="13" t="s">
        <v>19</v>
      </c>
      <c r="B848" s="1"/>
      <c r="C848" s="1" t="s">
        <v>32</v>
      </c>
      <c r="D848" s="3">
        <v>5000</v>
      </c>
      <c r="E848"/>
      <c r="F848"/>
      <c r="G848"/>
      <c r="H848"/>
      <c r="I848"/>
      <c r="J848"/>
      <c r="K848"/>
      <c r="L848"/>
      <c r="M848" s="18" t="s">
        <v>297</v>
      </c>
      <c r="N848" t="s">
        <v>1210</v>
      </c>
      <c r="O848" t="s">
        <v>1395</v>
      </c>
      <c r="P848" s="1" t="s">
        <v>775</v>
      </c>
      <c r="Q848" s="13" t="s">
        <v>25</v>
      </c>
      <c r="R848">
        <v>1</v>
      </c>
      <c r="S848">
        <v>5000</v>
      </c>
      <c r="T848"/>
      <c r="U848" s="9"/>
      <c r="V848" s="9"/>
      <c r="W848" s="9"/>
      <c r="X848" s="9"/>
    </row>
    <row r="849" spans="1:24">
      <c r="A849" s="13" t="s">
        <v>19</v>
      </c>
      <c r="B849" s="1"/>
      <c r="C849" s="1" t="s">
        <v>32</v>
      </c>
      <c r="D849" s="3">
        <v>10000</v>
      </c>
      <c r="E849"/>
      <c r="F849"/>
      <c r="G849"/>
      <c r="H849"/>
      <c r="I849"/>
      <c r="J849"/>
      <c r="K849"/>
      <c r="L849"/>
      <c r="M849" s="18" t="s">
        <v>297</v>
      </c>
      <c r="N849" t="s">
        <v>1210</v>
      </c>
      <c r="O849" t="s">
        <v>1395</v>
      </c>
      <c r="P849" s="1" t="s">
        <v>776</v>
      </c>
      <c r="Q849" s="13" t="s">
        <v>25</v>
      </c>
      <c r="R849">
        <v>2</v>
      </c>
      <c r="S849">
        <v>5000</v>
      </c>
      <c r="T849"/>
      <c r="U849" s="9"/>
      <c r="V849" s="9"/>
      <c r="W849" s="9"/>
      <c r="X849" s="9"/>
    </row>
    <row r="850" spans="1:24">
      <c r="A850" s="13" t="s">
        <v>19</v>
      </c>
      <c r="B850" s="1"/>
      <c r="C850" s="1" t="s">
        <v>32</v>
      </c>
      <c r="D850" s="3">
        <v>5000</v>
      </c>
      <c r="E850"/>
      <c r="F850"/>
      <c r="G850"/>
      <c r="H850"/>
      <c r="I850"/>
      <c r="J850"/>
      <c r="K850"/>
      <c r="L850"/>
      <c r="M850" s="18" t="s">
        <v>297</v>
      </c>
      <c r="N850" t="s">
        <v>1210</v>
      </c>
      <c r="O850" t="s">
        <v>1395</v>
      </c>
      <c r="P850" s="1" t="s">
        <v>777</v>
      </c>
      <c r="Q850" s="13" t="s">
        <v>25</v>
      </c>
      <c r="R850">
        <v>1</v>
      </c>
      <c r="S850">
        <v>5000</v>
      </c>
      <c r="T850"/>
      <c r="U850" s="9"/>
      <c r="V850" s="9"/>
      <c r="W850" s="9"/>
      <c r="X850" s="9"/>
    </row>
    <row r="851" spans="1:24">
      <c r="A851" s="13"/>
      <c r="B851" s="1"/>
      <c r="C851" s="1"/>
      <c r="D851" s="3" t="str">
        <f>SUBTOTAL(9,D829:D850)</f>
        <v>0</v>
      </c>
      <c r="E851"/>
      <c r="F851"/>
      <c r="G851"/>
      <c r="H851"/>
      <c r="I851"/>
      <c r="J851"/>
      <c r="K851"/>
      <c r="L851"/>
      <c r="M851" s="18" t="s">
        <v>298</v>
      </c>
      <c r="N851" t="s">
        <v>1494</v>
      </c>
      <c r="O851" t="s">
        <v>1395</v>
      </c>
      <c r="P851" s="1"/>
      <c r="Q851" s="13"/>
      <c r="R851"/>
      <c r="S851"/>
      <c r="T851"/>
      <c r="U851" s="9"/>
      <c r="V851" s="9"/>
      <c r="W851" s="9"/>
      <c r="X851" s="9"/>
    </row>
    <row r="852" spans="1:24">
      <c r="A852" s="13" t="s">
        <v>19</v>
      </c>
      <c r="B852" s="1"/>
      <c r="C852" s="1" t="s">
        <v>20</v>
      </c>
      <c r="D852" s="3">
        <v>66000</v>
      </c>
      <c r="E852"/>
      <c r="F852"/>
      <c r="G852"/>
      <c r="H852"/>
      <c r="I852"/>
      <c r="J852"/>
      <c r="K852"/>
      <c r="L852"/>
      <c r="M852" s="18" t="s">
        <v>299</v>
      </c>
      <c r="N852" t="s">
        <v>1212</v>
      </c>
      <c r="O852" t="s">
        <v>94</v>
      </c>
      <c r="P852" s="1" t="s">
        <v>778</v>
      </c>
      <c r="Q852" s="13" t="s">
        <v>25</v>
      </c>
      <c r="R852">
        <v>2</v>
      </c>
      <c r="S852">
        <v>33000</v>
      </c>
      <c r="T852"/>
      <c r="U852" s="9"/>
      <c r="V852" s="9"/>
      <c r="W852" s="9"/>
      <c r="X852" s="9"/>
    </row>
    <row r="853" spans="1:24">
      <c r="A853" s="13" t="s">
        <v>19</v>
      </c>
      <c r="B853" s="1"/>
      <c r="C853" s="1" t="s">
        <v>29</v>
      </c>
      <c r="D853" s="3">
        <v>10000</v>
      </c>
      <c r="E853"/>
      <c r="F853"/>
      <c r="G853"/>
      <c r="H853"/>
      <c r="I853"/>
      <c r="J853"/>
      <c r="K853"/>
      <c r="L853"/>
      <c r="M853" s="18" t="s">
        <v>299</v>
      </c>
      <c r="N853" t="s">
        <v>1212</v>
      </c>
      <c r="O853" t="s">
        <v>94</v>
      </c>
      <c r="P853" s="1" t="s">
        <v>779</v>
      </c>
      <c r="Q853" s="13" t="s">
        <v>25</v>
      </c>
      <c r="R853">
        <v>2</v>
      </c>
      <c r="S853">
        <v>5000</v>
      </c>
      <c r="T853"/>
      <c r="U853" s="9"/>
      <c r="V853" s="9"/>
      <c r="W853" s="9"/>
      <c r="X853" s="9"/>
    </row>
    <row r="854" spans="1:24">
      <c r="A854" s="13"/>
      <c r="B854" s="1"/>
      <c r="C854" s="1"/>
      <c r="D854" s="3" t="str">
        <f>SUBTOTAL(9,D852:D853)</f>
        <v>0</v>
      </c>
      <c r="E854"/>
      <c r="F854"/>
      <c r="G854"/>
      <c r="H854"/>
      <c r="I854"/>
      <c r="J854"/>
      <c r="K854"/>
      <c r="L854"/>
      <c r="M854" s="18" t="s">
        <v>300</v>
      </c>
      <c r="N854" t="s">
        <v>1495</v>
      </c>
      <c r="O854" t="s">
        <v>94</v>
      </c>
      <c r="P854" s="1"/>
      <c r="Q854" s="13"/>
      <c r="R854"/>
      <c r="S854"/>
      <c r="T854"/>
      <c r="U854" s="9"/>
      <c r="V854" s="9"/>
      <c r="W854" s="9"/>
      <c r="X854" s="9"/>
    </row>
    <row r="855" spans="1:24">
      <c r="A855" s="13" t="s">
        <v>19</v>
      </c>
      <c r="B855" s="1"/>
      <c r="C855" s="1" t="s">
        <v>20</v>
      </c>
      <c r="D855" s="3">
        <v>64000</v>
      </c>
      <c r="E855"/>
      <c r="F855"/>
      <c r="G855"/>
      <c r="H855"/>
      <c r="I855"/>
      <c r="J855"/>
      <c r="K855"/>
      <c r="L855"/>
      <c r="M855" s="18" t="s">
        <v>301</v>
      </c>
      <c r="N855" t="s">
        <v>1228</v>
      </c>
      <c r="O855" t="s">
        <v>96</v>
      </c>
      <c r="P855" s="1" t="s">
        <v>780</v>
      </c>
      <c r="Q855" s="13" t="s">
        <v>25</v>
      </c>
      <c r="R855">
        <v>2</v>
      </c>
      <c r="S855">
        <v>32000</v>
      </c>
      <c r="T855"/>
      <c r="U855" s="9"/>
      <c r="V855" s="9"/>
      <c r="W855" s="9"/>
      <c r="X855" s="9"/>
    </row>
    <row r="856" spans="1:24">
      <c r="A856" s="13" t="s">
        <v>19</v>
      </c>
      <c r="B856" s="1"/>
      <c r="C856" s="1" t="s">
        <v>29</v>
      </c>
      <c r="D856" s="3">
        <v>10000</v>
      </c>
      <c r="E856"/>
      <c r="F856"/>
      <c r="G856"/>
      <c r="H856"/>
      <c r="I856"/>
      <c r="J856"/>
      <c r="K856"/>
      <c r="L856"/>
      <c r="M856" s="18" t="s">
        <v>301</v>
      </c>
      <c r="N856" t="s">
        <v>1228</v>
      </c>
      <c r="O856" t="s">
        <v>96</v>
      </c>
      <c r="P856" s="1" t="s">
        <v>781</v>
      </c>
      <c r="Q856" s="13" t="s">
        <v>25</v>
      </c>
      <c r="R856">
        <v>2</v>
      </c>
      <c r="S856">
        <v>5000</v>
      </c>
      <c r="T856"/>
      <c r="U856" s="9"/>
      <c r="V856" s="9"/>
      <c r="W856" s="9"/>
      <c r="X856" s="9"/>
    </row>
    <row r="857" spans="1:24">
      <c r="A857" s="13"/>
      <c r="B857" s="1"/>
      <c r="C857" s="1"/>
      <c r="D857" s="3" t="str">
        <f>SUBTOTAL(9,D855:D856)</f>
        <v>0</v>
      </c>
      <c r="E857"/>
      <c r="F857"/>
      <c r="G857"/>
      <c r="H857"/>
      <c r="I857"/>
      <c r="J857"/>
      <c r="K857"/>
      <c r="L857"/>
      <c r="M857" s="18" t="s">
        <v>302</v>
      </c>
      <c r="N857" t="s">
        <v>1496</v>
      </c>
      <c r="O857" t="s">
        <v>96</v>
      </c>
      <c r="P857" s="1"/>
      <c r="Q857" s="13"/>
      <c r="R857"/>
      <c r="S857"/>
      <c r="T857"/>
      <c r="U857" s="9"/>
      <c r="V857" s="9"/>
      <c r="W857" s="9"/>
      <c r="X857" s="9"/>
    </row>
    <row r="858" spans="1:24">
      <c r="A858" s="13" t="s">
        <v>19</v>
      </c>
      <c r="B858" s="1"/>
      <c r="C858" s="1" t="s">
        <v>26</v>
      </c>
      <c r="D858" s="3">
        <v>37000</v>
      </c>
      <c r="E858"/>
      <c r="F858"/>
      <c r="G858"/>
      <c r="H858"/>
      <c r="I858"/>
      <c r="J858"/>
      <c r="K858"/>
      <c r="L858"/>
      <c r="M858" s="18" t="s">
        <v>303</v>
      </c>
      <c r="N858" t="s">
        <v>1239</v>
      </c>
      <c r="O858" t="s">
        <v>1395</v>
      </c>
      <c r="P858" s="1" t="s">
        <v>782</v>
      </c>
      <c r="Q858" s="13" t="s">
        <v>25</v>
      </c>
      <c r="R858">
        <v>1</v>
      </c>
      <c r="S858">
        <v>37000</v>
      </c>
      <c r="T858"/>
      <c r="U858" s="9"/>
      <c r="V858" s="9"/>
      <c r="W858" s="9"/>
      <c r="X858" s="9"/>
    </row>
    <row r="859" spans="1:24">
      <c r="A859" s="13" t="s">
        <v>19</v>
      </c>
      <c r="B859" s="1"/>
      <c r="C859" s="1" t="s">
        <v>26</v>
      </c>
      <c r="D859" s="3">
        <v>37000</v>
      </c>
      <c r="E859"/>
      <c r="F859"/>
      <c r="G859"/>
      <c r="H859"/>
      <c r="I859"/>
      <c r="J859"/>
      <c r="K859"/>
      <c r="L859"/>
      <c r="M859" s="18" t="s">
        <v>303</v>
      </c>
      <c r="N859" t="s">
        <v>1239</v>
      </c>
      <c r="O859" t="s">
        <v>1395</v>
      </c>
      <c r="P859" s="1" t="s">
        <v>783</v>
      </c>
      <c r="Q859" s="13" t="s">
        <v>25</v>
      </c>
      <c r="R859">
        <v>1</v>
      </c>
      <c r="S859">
        <v>37000</v>
      </c>
      <c r="T859"/>
      <c r="U859" s="9"/>
      <c r="V859" s="9"/>
      <c r="W859" s="9"/>
      <c r="X859" s="9"/>
    </row>
    <row r="860" spans="1:24">
      <c r="A860" s="13" t="s">
        <v>19</v>
      </c>
      <c r="B860" s="1"/>
      <c r="C860" s="1" t="s">
        <v>32</v>
      </c>
      <c r="D860" s="3">
        <v>5000</v>
      </c>
      <c r="E860"/>
      <c r="F860"/>
      <c r="G860"/>
      <c r="H860"/>
      <c r="I860"/>
      <c r="J860"/>
      <c r="K860"/>
      <c r="L860"/>
      <c r="M860" s="18" t="s">
        <v>303</v>
      </c>
      <c r="N860" t="s">
        <v>1239</v>
      </c>
      <c r="O860" t="s">
        <v>1395</v>
      </c>
      <c r="P860" s="1" t="s">
        <v>784</v>
      </c>
      <c r="Q860" s="13" t="s">
        <v>25</v>
      </c>
      <c r="R860">
        <v>1</v>
      </c>
      <c r="S860">
        <v>5000</v>
      </c>
      <c r="T860"/>
      <c r="U860" s="9"/>
      <c r="V860" s="9"/>
      <c r="W860" s="9"/>
      <c r="X860" s="9"/>
    </row>
    <row r="861" spans="1:24">
      <c r="A861" s="13" t="s">
        <v>19</v>
      </c>
      <c r="B861" s="1"/>
      <c r="C861" s="1" t="s">
        <v>32</v>
      </c>
      <c r="D861" s="3">
        <v>5000</v>
      </c>
      <c r="E861"/>
      <c r="F861"/>
      <c r="G861"/>
      <c r="H861"/>
      <c r="I861"/>
      <c r="J861"/>
      <c r="K861"/>
      <c r="L861"/>
      <c r="M861" s="18" t="s">
        <v>303</v>
      </c>
      <c r="N861" t="s">
        <v>1239</v>
      </c>
      <c r="O861" t="s">
        <v>1395</v>
      </c>
      <c r="P861" s="1" t="s">
        <v>785</v>
      </c>
      <c r="Q861" s="13" t="s">
        <v>25</v>
      </c>
      <c r="R861">
        <v>1</v>
      </c>
      <c r="S861">
        <v>5000</v>
      </c>
      <c r="T861"/>
      <c r="U861" s="9"/>
      <c r="V861" s="9"/>
      <c r="W861" s="9"/>
      <c r="X861" s="9"/>
    </row>
    <row r="862" spans="1:24">
      <c r="A862" s="13"/>
      <c r="B862" s="1"/>
      <c r="C862" s="1"/>
      <c r="D862" s="3" t="str">
        <f>SUBTOTAL(9,D858:D861)</f>
        <v>0</v>
      </c>
      <c r="E862"/>
      <c r="F862"/>
      <c r="G862"/>
      <c r="H862"/>
      <c r="I862"/>
      <c r="J862"/>
      <c r="K862"/>
      <c r="L862"/>
      <c r="M862" s="18" t="s">
        <v>304</v>
      </c>
      <c r="N862" t="s">
        <v>1497</v>
      </c>
      <c r="O862" t="s">
        <v>1395</v>
      </c>
      <c r="P862" s="1"/>
      <c r="Q862" s="13"/>
      <c r="R862"/>
      <c r="S862"/>
      <c r="T862"/>
      <c r="U862" s="9"/>
      <c r="V862" s="9"/>
      <c r="W862" s="9"/>
      <c r="X862" s="9"/>
    </row>
    <row r="863" spans="1:24">
      <c r="A863" s="13" t="s">
        <v>19</v>
      </c>
      <c r="B863" s="1"/>
      <c r="C863" s="1" t="s">
        <v>26</v>
      </c>
      <c r="D863" s="3">
        <v>37000</v>
      </c>
      <c r="E863"/>
      <c r="F863"/>
      <c r="G863"/>
      <c r="H863"/>
      <c r="I863"/>
      <c r="J863"/>
      <c r="K863"/>
      <c r="L863"/>
      <c r="M863" s="18" t="s">
        <v>305</v>
      </c>
      <c r="N863" t="s">
        <v>1252</v>
      </c>
      <c r="O863" t="s">
        <v>98</v>
      </c>
      <c r="P863" s="1" t="s">
        <v>786</v>
      </c>
      <c r="Q863" s="13" t="s">
        <v>25</v>
      </c>
      <c r="R863">
        <v>1</v>
      </c>
      <c r="S863">
        <v>37000</v>
      </c>
      <c r="T863"/>
      <c r="U863" s="9"/>
      <c r="V863" s="9"/>
      <c r="W863" s="9"/>
      <c r="X863" s="9"/>
    </row>
    <row r="864" spans="1:24">
      <c r="A864" s="13" t="s">
        <v>19</v>
      </c>
      <c r="B864" s="1"/>
      <c r="C864" s="1" t="s">
        <v>32</v>
      </c>
      <c r="D864" s="3">
        <v>5000</v>
      </c>
      <c r="E864"/>
      <c r="F864"/>
      <c r="G864"/>
      <c r="H864"/>
      <c r="I864"/>
      <c r="J864"/>
      <c r="K864"/>
      <c r="L864"/>
      <c r="M864" s="18" t="s">
        <v>305</v>
      </c>
      <c r="N864" t="s">
        <v>1252</v>
      </c>
      <c r="O864" t="s">
        <v>98</v>
      </c>
      <c r="P864" s="1" t="s">
        <v>787</v>
      </c>
      <c r="Q864" s="13" t="s">
        <v>25</v>
      </c>
      <c r="R864">
        <v>1</v>
      </c>
      <c r="S864">
        <v>5000</v>
      </c>
      <c r="T864"/>
      <c r="U864" s="9"/>
      <c r="V864" s="9"/>
      <c r="W864" s="9"/>
      <c r="X864" s="9"/>
    </row>
    <row r="865" spans="1:24">
      <c r="A865" s="13"/>
      <c r="B865" s="1"/>
      <c r="C865" s="1"/>
      <c r="D865" s="3" t="str">
        <f>SUBTOTAL(9,D863:D864)</f>
        <v>0</v>
      </c>
      <c r="E865"/>
      <c r="F865"/>
      <c r="G865"/>
      <c r="H865"/>
      <c r="I865"/>
      <c r="J865"/>
      <c r="K865"/>
      <c r="L865"/>
      <c r="M865" s="18" t="s">
        <v>306</v>
      </c>
      <c r="N865" t="s">
        <v>1498</v>
      </c>
      <c r="O865" t="s">
        <v>98</v>
      </c>
      <c r="P865" s="1"/>
      <c r="Q865" s="13"/>
      <c r="R865"/>
      <c r="S865"/>
      <c r="T865"/>
      <c r="U865" s="9"/>
      <c r="V865" s="9"/>
      <c r="W865" s="9"/>
      <c r="X865" s="9"/>
    </row>
    <row r="866" spans="1:24">
      <c r="A866" s="13" t="s">
        <v>19</v>
      </c>
      <c r="B866" s="1"/>
      <c r="C866" s="1" t="s">
        <v>26</v>
      </c>
      <c r="D866" s="3">
        <v>32000</v>
      </c>
      <c r="E866"/>
      <c r="F866"/>
      <c r="G866"/>
      <c r="H866"/>
      <c r="I866"/>
      <c r="J866"/>
      <c r="K866"/>
      <c r="L866"/>
      <c r="M866" s="18" t="s">
        <v>307</v>
      </c>
      <c r="N866" t="s">
        <v>1264</v>
      </c>
      <c r="O866" t="s">
        <v>1395</v>
      </c>
      <c r="P866" s="1" t="s">
        <v>788</v>
      </c>
      <c r="Q866" s="13" t="s">
        <v>25</v>
      </c>
      <c r="R866">
        <v>1</v>
      </c>
      <c r="S866">
        <v>32000</v>
      </c>
      <c r="T866"/>
      <c r="U866" s="9"/>
      <c r="V866" s="9"/>
      <c r="W866" s="9"/>
      <c r="X866" s="9"/>
    </row>
    <row r="867" spans="1:24">
      <c r="A867" s="13" t="s">
        <v>19</v>
      </c>
      <c r="B867" s="1"/>
      <c r="C867" s="1" t="s">
        <v>32</v>
      </c>
      <c r="D867" s="3">
        <v>5000</v>
      </c>
      <c r="E867"/>
      <c r="F867"/>
      <c r="G867"/>
      <c r="H867"/>
      <c r="I867"/>
      <c r="J867"/>
      <c r="K867"/>
      <c r="L867"/>
      <c r="M867" s="18" t="s">
        <v>307</v>
      </c>
      <c r="N867" t="s">
        <v>1264</v>
      </c>
      <c r="O867" t="s">
        <v>1395</v>
      </c>
      <c r="P867" s="1" t="s">
        <v>789</v>
      </c>
      <c r="Q867" s="13" t="s">
        <v>25</v>
      </c>
      <c r="R867">
        <v>1</v>
      </c>
      <c r="S867">
        <v>5000</v>
      </c>
      <c r="T867"/>
      <c r="U867" s="9"/>
      <c r="V867" s="9"/>
      <c r="W867" s="9"/>
      <c r="X867" s="9"/>
    </row>
    <row r="868" spans="1:24">
      <c r="A868" s="13"/>
      <c r="B868" s="1"/>
      <c r="C868" s="1"/>
      <c r="D868" s="3" t="str">
        <f>SUBTOTAL(9,D866:D867)</f>
        <v>0</v>
      </c>
      <c r="E868"/>
      <c r="F868"/>
      <c r="G868"/>
      <c r="H868"/>
      <c r="I868"/>
      <c r="J868"/>
      <c r="K868"/>
      <c r="L868"/>
      <c r="M868" s="18" t="s">
        <v>308</v>
      </c>
      <c r="N868" t="s">
        <v>1499</v>
      </c>
      <c r="O868" t="s">
        <v>1395</v>
      </c>
      <c r="P868" s="1"/>
      <c r="Q868" s="13"/>
      <c r="R868"/>
      <c r="S868"/>
      <c r="T868"/>
      <c r="U868" s="9"/>
      <c r="V868" s="9"/>
      <c r="W868" s="9"/>
      <c r="X868" s="9"/>
    </row>
    <row r="869" spans="1:24">
      <c r="A869" s="13" t="s">
        <v>19</v>
      </c>
      <c r="B869" s="1"/>
      <c r="C869" s="1" t="s">
        <v>20</v>
      </c>
      <c r="D869" s="3">
        <v>80000</v>
      </c>
      <c r="E869"/>
      <c r="F869"/>
      <c r="G869"/>
      <c r="H869"/>
      <c r="I869"/>
      <c r="J869"/>
      <c r="K869"/>
      <c r="L869"/>
      <c r="M869" s="18" t="s">
        <v>309</v>
      </c>
      <c r="N869" t="s">
        <v>1265</v>
      </c>
      <c r="O869" t="s">
        <v>93</v>
      </c>
      <c r="P869" s="1" t="s">
        <v>24</v>
      </c>
      <c r="Q869" s="13" t="s">
        <v>1018</v>
      </c>
      <c r="R869">
        <v>4</v>
      </c>
      <c r="S869">
        <v>20000</v>
      </c>
      <c r="T869"/>
      <c r="U869" s="9"/>
      <c r="V869" s="9"/>
      <c r="W869" s="9"/>
      <c r="X869" s="9"/>
    </row>
    <row r="870" spans="1:24">
      <c r="A870" s="13" t="s">
        <v>19</v>
      </c>
      <c r="B870" s="1"/>
      <c r="C870" s="1" t="s">
        <v>20</v>
      </c>
      <c r="D870" s="3">
        <v>40000</v>
      </c>
      <c r="E870"/>
      <c r="F870"/>
      <c r="G870"/>
      <c r="H870"/>
      <c r="I870"/>
      <c r="J870"/>
      <c r="K870"/>
      <c r="L870"/>
      <c r="M870" s="18" t="s">
        <v>309</v>
      </c>
      <c r="N870" t="s">
        <v>1265</v>
      </c>
      <c r="O870" t="s">
        <v>93</v>
      </c>
      <c r="P870" s="1" t="s">
        <v>24</v>
      </c>
      <c r="Q870" s="13" t="s">
        <v>1018</v>
      </c>
      <c r="R870">
        <v>2</v>
      </c>
      <c r="S870">
        <v>20000</v>
      </c>
      <c r="T870"/>
      <c r="U870" s="9"/>
      <c r="V870" s="9"/>
      <c r="W870" s="9"/>
      <c r="X870" s="9"/>
    </row>
    <row r="871" spans="1:24">
      <c r="A871" s="13" t="s">
        <v>19</v>
      </c>
      <c r="B871" s="1"/>
      <c r="C871" s="1" t="s">
        <v>20</v>
      </c>
      <c r="D871" s="3">
        <v>80000</v>
      </c>
      <c r="E871"/>
      <c r="F871"/>
      <c r="G871"/>
      <c r="H871"/>
      <c r="I871"/>
      <c r="J871"/>
      <c r="K871"/>
      <c r="L871"/>
      <c r="M871" s="18" t="s">
        <v>309</v>
      </c>
      <c r="N871" t="s">
        <v>1265</v>
      </c>
      <c r="O871" t="s">
        <v>93</v>
      </c>
      <c r="P871" s="1" t="s">
        <v>24</v>
      </c>
      <c r="Q871" s="13" t="s">
        <v>1018</v>
      </c>
      <c r="R871">
        <v>4</v>
      </c>
      <c r="S871">
        <v>20000</v>
      </c>
      <c r="T871"/>
      <c r="U871" s="9"/>
      <c r="V871" s="9"/>
      <c r="W871" s="9"/>
      <c r="X871" s="9"/>
    </row>
    <row r="872" spans="1:24">
      <c r="A872" s="13" t="s">
        <v>19</v>
      </c>
      <c r="B872" s="1"/>
      <c r="C872" s="1" t="s">
        <v>20</v>
      </c>
      <c r="D872" s="3">
        <v>200000</v>
      </c>
      <c r="E872"/>
      <c r="F872"/>
      <c r="G872"/>
      <c r="H872"/>
      <c r="I872"/>
      <c r="J872"/>
      <c r="K872"/>
      <c r="L872"/>
      <c r="M872" s="18" t="s">
        <v>309</v>
      </c>
      <c r="N872" t="s">
        <v>1265</v>
      </c>
      <c r="O872" t="s">
        <v>93</v>
      </c>
      <c r="P872" s="1" t="s">
        <v>24</v>
      </c>
      <c r="Q872" s="13" t="s">
        <v>1018</v>
      </c>
      <c r="R872">
        <v>10</v>
      </c>
      <c r="S872">
        <v>20000</v>
      </c>
      <c r="T872"/>
      <c r="U872" s="9"/>
      <c r="V872" s="9"/>
      <c r="W872" s="9"/>
      <c r="X872" s="9"/>
    </row>
    <row r="873" spans="1:24">
      <c r="A873" s="13" t="s">
        <v>19</v>
      </c>
      <c r="B873" s="1"/>
      <c r="C873" s="1" t="s">
        <v>20</v>
      </c>
      <c r="D873" s="3">
        <v>60000</v>
      </c>
      <c r="E873"/>
      <c r="F873"/>
      <c r="G873"/>
      <c r="H873"/>
      <c r="I873"/>
      <c r="J873"/>
      <c r="K873"/>
      <c r="L873"/>
      <c r="M873" s="18" t="s">
        <v>309</v>
      </c>
      <c r="N873" t="s">
        <v>1265</v>
      </c>
      <c r="O873" t="s">
        <v>93</v>
      </c>
      <c r="P873" s="1" t="s">
        <v>24</v>
      </c>
      <c r="Q873" s="13" t="s">
        <v>1018</v>
      </c>
      <c r="R873">
        <v>3</v>
      </c>
      <c r="S873">
        <v>20000</v>
      </c>
      <c r="T873"/>
      <c r="U873" s="9"/>
      <c r="V873" s="9"/>
      <c r="W873" s="9"/>
      <c r="X873" s="9"/>
    </row>
    <row r="874" spans="1:24">
      <c r="A874" s="13" t="s">
        <v>19</v>
      </c>
      <c r="B874" s="1"/>
      <c r="C874" s="1" t="s">
        <v>20</v>
      </c>
      <c r="D874" s="3">
        <v>60000</v>
      </c>
      <c r="E874"/>
      <c r="F874"/>
      <c r="G874"/>
      <c r="H874"/>
      <c r="I874"/>
      <c r="J874"/>
      <c r="K874"/>
      <c r="L874"/>
      <c r="M874" s="18" t="s">
        <v>309</v>
      </c>
      <c r="N874" t="s">
        <v>1265</v>
      </c>
      <c r="O874" t="s">
        <v>93</v>
      </c>
      <c r="P874" s="1" t="s">
        <v>24</v>
      </c>
      <c r="Q874" s="13" t="s">
        <v>1018</v>
      </c>
      <c r="R874">
        <v>3</v>
      </c>
      <c r="S874">
        <v>20000</v>
      </c>
      <c r="T874"/>
      <c r="U874" s="9"/>
      <c r="V874" s="9"/>
      <c r="W874" s="9"/>
      <c r="X874" s="9"/>
    </row>
    <row r="875" spans="1:24">
      <c r="A875" s="13" t="s">
        <v>19</v>
      </c>
      <c r="B875" s="1"/>
      <c r="C875" s="1" t="s">
        <v>20</v>
      </c>
      <c r="D875" s="3">
        <v>80000</v>
      </c>
      <c r="E875"/>
      <c r="F875"/>
      <c r="G875"/>
      <c r="H875"/>
      <c r="I875"/>
      <c r="J875"/>
      <c r="K875"/>
      <c r="L875"/>
      <c r="M875" s="18" t="s">
        <v>309</v>
      </c>
      <c r="N875" t="s">
        <v>1265</v>
      </c>
      <c r="O875" t="s">
        <v>93</v>
      </c>
      <c r="P875" s="1" t="s">
        <v>24</v>
      </c>
      <c r="Q875" s="13" t="s">
        <v>1018</v>
      </c>
      <c r="R875">
        <v>4</v>
      </c>
      <c r="S875">
        <v>20000</v>
      </c>
      <c r="T875"/>
      <c r="U875" s="9"/>
      <c r="V875" s="9"/>
      <c r="W875" s="9"/>
      <c r="X875" s="9"/>
    </row>
    <row r="876" spans="1:24">
      <c r="A876" s="13" t="s">
        <v>19</v>
      </c>
      <c r="B876" s="1"/>
      <c r="C876" s="1" t="s">
        <v>20</v>
      </c>
      <c r="D876" s="3">
        <v>120000</v>
      </c>
      <c r="E876"/>
      <c r="F876"/>
      <c r="G876"/>
      <c r="H876"/>
      <c r="I876"/>
      <c r="J876"/>
      <c r="K876"/>
      <c r="L876"/>
      <c r="M876" s="18" t="s">
        <v>309</v>
      </c>
      <c r="N876" t="s">
        <v>1265</v>
      </c>
      <c r="O876" t="s">
        <v>93</v>
      </c>
      <c r="P876" s="1" t="s">
        <v>24</v>
      </c>
      <c r="Q876" s="13" t="s">
        <v>1018</v>
      </c>
      <c r="R876">
        <v>6</v>
      </c>
      <c r="S876">
        <v>20000</v>
      </c>
      <c r="T876"/>
      <c r="U876" s="9"/>
      <c r="V876" s="9"/>
      <c r="W876" s="9"/>
      <c r="X876" s="9"/>
    </row>
    <row r="877" spans="1:24">
      <c r="A877" s="13" t="s">
        <v>19</v>
      </c>
      <c r="B877" s="1"/>
      <c r="C877" s="1" t="s">
        <v>20</v>
      </c>
      <c r="D877" s="3">
        <v>60000</v>
      </c>
      <c r="E877"/>
      <c r="F877"/>
      <c r="G877"/>
      <c r="H877"/>
      <c r="I877"/>
      <c r="J877"/>
      <c r="K877"/>
      <c r="L877"/>
      <c r="M877" s="18" t="s">
        <v>309</v>
      </c>
      <c r="N877" t="s">
        <v>1265</v>
      </c>
      <c r="O877" t="s">
        <v>93</v>
      </c>
      <c r="P877" s="1" t="s">
        <v>24</v>
      </c>
      <c r="Q877" s="13" t="s">
        <v>1018</v>
      </c>
      <c r="R877">
        <v>3</v>
      </c>
      <c r="S877">
        <v>20000</v>
      </c>
      <c r="T877"/>
      <c r="U877" s="9"/>
      <c r="V877" s="9"/>
      <c r="W877" s="9"/>
      <c r="X877" s="9"/>
    </row>
    <row r="878" spans="1:24">
      <c r="A878" s="13" t="s">
        <v>19</v>
      </c>
      <c r="B878" s="1"/>
      <c r="C878" s="1" t="s">
        <v>26</v>
      </c>
      <c r="D878" s="3">
        <v>15000</v>
      </c>
      <c r="E878"/>
      <c r="F878"/>
      <c r="G878"/>
      <c r="H878"/>
      <c r="I878"/>
      <c r="J878"/>
      <c r="K878"/>
      <c r="L878"/>
      <c r="M878" s="18" t="s">
        <v>309</v>
      </c>
      <c r="N878" t="s">
        <v>1265</v>
      </c>
      <c r="O878" t="s">
        <v>93</v>
      </c>
      <c r="P878" s="1" t="s">
        <v>512</v>
      </c>
      <c r="Q878" s="13" t="s">
        <v>1018</v>
      </c>
      <c r="R878">
        <v>1</v>
      </c>
      <c r="S878">
        <v>15000</v>
      </c>
      <c r="T878"/>
      <c r="U878" s="9"/>
      <c r="V878" s="9"/>
      <c r="W878" s="9"/>
      <c r="X878" s="9"/>
    </row>
    <row r="879" spans="1:24">
      <c r="A879" s="13" t="s">
        <v>19</v>
      </c>
      <c r="B879" s="1"/>
      <c r="C879" s="1" t="s">
        <v>26</v>
      </c>
      <c r="D879" s="3">
        <v>30000</v>
      </c>
      <c r="E879"/>
      <c r="F879"/>
      <c r="G879"/>
      <c r="H879"/>
      <c r="I879"/>
      <c r="J879"/>
      <c r="K879"/>
      <c r="L879"/>
      <c r="M879" s="18" t="s">
        <v>309</v>
      </c>
      <c r="N879" t="s">
        <v>1265</v>
      </c>
      <c r="O879" t="s">
        <v>93</v>
      </c>
      <c r="P879" s="1" t="s">
        <v>512</v>
      </c>
      <c r="Q879" s="13" t="s">
        <v>1018</v>
      </c>
      <c r="R879">
        <v>2</v>
      </c>
      <c r="S879">
        <v>15000</v>
      </c>
      <c r="T879"/>
      <c r="U879" s="9"/>
      <c r="V879" s="9"/>
      <c r="W879" s="9"/>
      <c r="X879" s="9"/>
    </row>
    <row r="880" spans="1:24">
      <c r="A880" s="13" t="s">
        <v>19</v>
      </c>
      <c r="B880" s="1"/>
      <c r="C880" s="1" t="s">
        <v>26</v>
      </c>
      <c r="D880" s="3">
        <v>30000</v>
      </c>
      <c r="E880"/>
      <c r="F880"/>
      <c r="G880"/>
      <c r="H880"/>
      <c r="I880"/>
      <c r="J880"/>
      <c r="K880"/>
      <c r="L880"/>
      <c r="M880" s="18" t="s">
        <v>309</v>
      </c>
      <c r="N880" t="s">
        <v>1265</v>
      </c>
      <c r="O880" t="s">
        <v>93</v>
      </c>
      <c r="P880" s="1" t="s">
        <v>512</v>
      </c>
      <c r="Q880" s="13" t="s">
        <v>1018</v>
      </c>
      <c r="R880">
        <v>2</v>
      </c>
      <c r="S880">
        <v>15000</v>
      </c>
      <c r="T880"/>
      <c r="U880" s="9"/>
      <c r="V880" s="9"/>
      <c r="W880" s="9"/>
      <c r="X880" s="9"/>
    </row>
    <row r="881" spans="1:24">
      <c r="A881" s="13" t="s">
        <v>19</v>
      </c>
      <c r="B881" s="1"/>
      <c r="C881" s="1" t="s">
        <v>26</v>
      </c>
      <c r="D881" s="3">
        <v>45000</v>
      </c>
      <c r="E881"/>
      <c r="F881"/>
      <c r="G881"/>
      <c r="H881"/>
      <c r="I881"/>
      <c r="J881"/>
      <c r="K881"/>
      <c r="L881"/>
      <c r="M881" s="18" t="s">
        <v>309</v>
      </c>
      <c r="N881" t="s">
        <v>1265</v>
      </c>
      <c r="O881" t="s">
        <v>93</v>
      </c>
      <c r="P881" s="1" t="s">
        <v>512</v>
      </c>
      <c r="Q881" s="13" t="s">
        <v>1018</v>
      </c>
      <c r="R881">
        <v>3</v>
      </c>
      <c r="S881">
        <v>15000</v>
      </c>
      <c r="T881"/>
      <c r="U881" s="9"/>
      <c r="V881" s="9"/>
      <c r="W881" s="9"/>
      <c r="X881" s="9"/>
    </row>
    <row r="882" spans="1:24">
      <c r="A882" s="13" t="s">
        <v>19</v>
      </c>
      <c r="B882" s="1"/>
      <c r="C882" s="1" t="s">
        <v>26</v>
      </c>
      <c r="D882" s="3">
        <v>15000</v>
      </c>
      <c r="E882"/>
      <c r="F882"/>
      <c r="G882"/>
      <c r="H882"/>
      <c r="I882"/>
      <c r="J882"/>
      <c r="K882"/>
      <c r="L882"/>
      <c r="M882" s="18" t="s">
        <v>309</v>
      </c>
      <c r="N882" t="s">
        <v>1265</v>
      </c>
      <c r="O882" t="s">
        <v>93</v>
      </c>
      <c r="P882" s="1" t="s">
        <v>512</v>
      </c>
      <c r="Q882" s="13" t="s">
        <v>1018</v>
      </c>
      <c r="R882">
        <v>1</v>
      </c>
      <c r="S882">
        <v>15000</v>
      </c>
      <c r="T882"/>
      <c r="U882" s="9"/>
      <c r="V882" s="9"/>
      <c r="W882" s="9"/>
      <c r="X882" s="9"/>
    </row>
    <row r="883" spans="1:24">
      <c r="A883" s="13" t="s">
        <v>19</v>
      </c>
      <c r="B883" s="1"/>
      <c r="C883" s="1" t="s">
        <v>26</v>
      </c>
      <c r="D883" s="3">
        <v>15000</v>
      </c>
      <c r="E883"/>
      <c r="F883"/>
      <c r="G883"/>
      <c r="H883"/>
      <c r="I883"/>
      <c r="J883"/>
      <c r="K883"/>
      <c r="L883"/>
      <c r="M883" s="18" t="s">
        <v>309</v>
      </c>
      <c r="N883" t="s">
        <v>1265</v>
      </c>
      <c r="O883" t="s">
        <v>93</v>
      </c>
      <c r="P883" s="1" t="s">
        <v>512</v>
      </c>
      <c r="Q883" s="13" t="s">
        <v>1018</v>
      </c>
      <c r="R883">
        <v>1</v>
      </c>
      <c r="S883">
        <v>15000</v>
      </c>
      <c r="T883"/>
      <c r="U883" s="9"/>
      <c r="V883" s="9"/>
      <c r="W883" s="9"/>
      <c r="X883" s="9"/>
    </row>
    <row r="884" spans="1:24">
      <c r="A884" s="13" t="s">
        <v>19</v>
      </c>
      <c r="B884" s="1"/>
      <c r="C884" s="1" t="s">
        <v>26</v>
      </c>
      <c r="D884" s="3">
        <v>15000</v>
      </c>
      <c r="E884"/>
      <c r="F884"/>
      <c r="G884"/>
      <c r="H884"/>
      <c r="I884"/>
      <c r="J884"/>
      <c r="K884"/>
      <c r="L884"/>
      <c r="M884" s="18" t="s">
        <v>309</v>
      </c>
      <c r="N884" t="s">
        <v>1265</v>
      </c>
      <c r="O884" t="s">
        <v>93</v>
      </c>
      <c r="P884" s="1" t="s">
        <v>512</v>
      </c>
      <c r="Q884" s="13" t="s">
        <v>1018</v>
      </c>
      <c r="R884">
        <v>1</v>
      </c>
      <c r="S884">
        <v>15000</v>
      </c>
      <c r="T884"/>
      <c r="U884" s="9"/>
      <c r="V884" s="9"/>
      <c r="W884" s="9"/>
      <c r="X884" s="9"/>
    </row>
    <row r="885" spans="1:24">
      <c r="A885" s="13" t="s">
        <v>19</v>
      </c>
      <c r="B885" s="1"/>
      <c r="C885" s="1" t="s">
        <v>26</v>
      </c>
      <c r="D885" s="3">
        <v>20000</v>
      </c>
      <c r="E885"/>
      <c r="F885"/>
      <c r="G885"/>
      <c r="H885"/>
      <c r="I885"/>
      <c r="J885"/>
      <c r="K885"/>
      <c r="L885"/>
      <c r="M885" s="18" t="s">
        <v>309</v>
      </c>
      <c r="N885" t="s">
        <v>1265</v>
      </c>
      <c r="O885" t="s">
        <v>93</v>
      </c>
      <c r="P885" s="1" t="s">
        <v>790</v>
      </c>
      <c r="Q885" s="13" t="s">
        <v>1018</v>
      </c>
      <c r="R885">
        <v>1</v>
      </c>
      <c r="S885">
        <v>20000</v>
      </c>
      <c r="T885"/>
      <c r="U885" s="9"/>
      <c r="V885" s="9"/>
      <c r="W885" s="9"/>
      <c r="X885" s="9"/>
    </row>
    <row r="886" spans="1:24">
      <c r="A886" s="13" t="s">
        <v>19</v>
      </c>
      <c r="B886" s="1"/>
      <c r="C886" s="1" t="s">
        <v>26</v>
      </c>
      <c r="D886" s="3">
        <v>20000</v>
      </c>
      <c r="E886"/>
      <c r="F886"/>
      <c r="G886"/>
      <c r="H886"/>
      <c r="I886"/>
      <c r="J886"/>
      <c r="K886"/>
      <c r="L886"/>
      <c r="M886" s="18" t="s">
        <v>309</v>
      </c>
      <c r="N886" t="s">
        <v>1265</v>
      </c>
      <c r="O886" t="s">
        <v>93</v>
      </c>
      <c r="P886" s="1" t="s">
        <v>791</v>
      </c>
      <c r="Q886" s="13" t="s">
        <v>1018</v>
      </c>
      <c r="R886">
        <v>1</v>
      </c>
      <c r="S886">
        <v>20000</v>
      </c>
      <c r="T886"/>
      <c r="U886" s="9"/>
      <c r="V886" s="9"/>
      <c r="W886" s="9"/>
      <c r="X886" s="9"/>
    </row>
    <row r="887" spans="1:24">
      <c r="A887" s="13" t="s">
        <v>19</v>
      </c>
      <c r="B887" s="1"/>
      <c r="C887" s="1" t="s">
        <v>26</v>
      </c>
      <c r="D887" s="3">
        <v>40000</v>
      </c>
      <c r="E887"/>
      <c r="F887"/>
      <c r="G887"/>
      <c r="H887"/>
      <c r="I887"/>
      <c r="J887"/>
      <c r="K887"/>
      <c r="L887"/>
      <c r="M887" s="18" t="s">
        <v>309</v>
      </c>
      <c r="N887" t="s">
        <v>1265</v>
      </c>
      <c r="O887" t="s">
        <v>93</v>
      </c>
      <c r="P887" s="1" t="s">
        <v>792</v>
      </c>
      <c r="Q887" s="13" t="s">
        <v>1018</v>
      </c>
      <c r="R887">
        <v>2</v>
      </c>
      <c r="S887">
        <v>20000</v>
      </c>
      <c r="T887"/>
      <c r="U887" s="9"/>
      <c r="V887" s="9"/>
      <c r="W887" s="9"/>
      <c r="X887" s="9"/>
    </row>
    <row r="888" spans="1:24">
      <c r="A888" s="13" t="s">
        <v>19</v>
      </c>
      <c r="B888" s="1"/>
      <c r="C888" s="1" t="s">
        <v>26</v>
      </c>
      <c r="D888" s="3">
        <v>20000</v>
      </c>
      <c r="E888"/>
      <c r="F888"/>
      <c r="G888"/>
      <c r="H888"/>
      <c r="I888"/>
      <c r="J888"/>
      <c r="K888"/>
      <c r="L888"/>
      <c r="M888" s="18" t="s">
        <v>309</v>
      </c>
      <c r="N888" t="s">
        <v>1265</v>
      </c>
      <c r="O888" t="s">
        <v>93</v>
      </c>
      <c r="P888" s="1" t="s">
        <v>609</v>
      </c>
      <c r="Q888" s="13" t="s">
        <v>1018</v>
      </c>
      <c r="R888">
        <v>1</v>
      </c>
      <c r="S888">
        <v>20000</v>
      </c>
      <c r="T888"/>
      <c r="U888" s="9"/>
      <c r="V888" s="9"/>
      <c r="W888" s="9"/>
      <c r="X888" s="9"/>
    </row>
    <row r="889" spans="1:24">
      <c r="A889" s="13" t="s">
        <v>19</v>
      </c>
      <c r="B889" s="1"/>
      <c r="C889" s="1" t="s">
        <v>26</v>
      </c>
      <c r="D889" s="3">
        <v>20000</v>
      </c>
      <c r="E889"/>
      <c r="F889"/>
      <c r="G889"/>
      <c r="H889"/>
      <c r="I889"/>
      <c r="J889"/>
      <c r="K889"/>
      <c r="L889"/>
      <c r="M889" s="18" t="s">
        <v>309</v>
      </c>
      <c r="N889" t="s">
        <v>1265</v>
      </c>
      <c r="O889" t="s">
        <v>93</v>
      </c>
      <c r="P889" s="1" t="s">
        <v>589</v>
      </c>
      <c r="Q889" s="13" t="s">
        <v>1018</v>
      </c>
      <c r="R889">
        <v>1</v>
      </c>
      <c r="S889">
        <v>20000</v>
      </c>
      <c r="T889"/>
      <c r="U889" s="9"/>
      <c r="V889" s="9"/>
      <c r="W889" s="9"/>
      <c r="X889" s="9"/>
    </row>
    <row r="890" spans="1:24">
      <c r="A890" s="13" t="s">
        <v>19</v>
      </c>
      <c r="B890" s="1"/>
      <c r="C890" s="1" t="s">
        <v>26</v>
      </c>
      <c r="D890" s="3">
        <v>20000</v>
      </c>
      <c r="E890"/>
      <c r="F890"/>
      <c r="G890"/>
      <c r="H890"/>
      <c r="I890"/>
      <c r="J890"/>
      <c r="K890"/>
      <c r="L890"/>
      <c r="M890" s="18" t="s">
        <v>309</v>
      </c>
      <c r="N890" t="s">
        <v>1265</v>
      </c>
      <c r="O890" t="s">
        <v>93</v>
      </c>
      <c r="P890" s="1" t="s">
        <v>790</v>
      </c>
      <c r="Q890" s="13" t="s">
        <v>1018</v>
      </c>
      <c r="R890">
        <v>1</v>
      </c>
      <c r="S890">
        <v>20000</v>
      </c>
      <c r="T890"/>
      <c r="U890" s="9"/>
      <c r="V890" s="9"/>
      <c r="W890" s="9"/>
      <c r="X890" s="9"/>
    </row>
    <row r="891" spans="1:24">
      <c r="A891" s="13" t="s">
        <v>19</v>
      </c>
      <c r="B891" s="1"/>
      <c r="C891" s="1" t="s">
        <v>26</v>
      </c>
      <c r="D891" s="3">
        <v>20000</v>
      </c>
      <c r="E891"/>
      <c r="F891"/>
      <c r="G891"/>
      <c r="H891"/>
      <c r="I891"/>
      <c r="J891"/>
      <c r="K891"/>
      <c r="L891"/>
      <c r="M891" s="18" t="s">
        <v>309</v>
      </c>
      <c r="N891" t="s">
        <v>1265</v>
      </c>
      <c r="O891" t="s">
        <v>93</v>
      </c>
      <c r="P891" s="1" t="s">
        <v>611</v>
      </c>
      <c r="Q891" s="13" t="s">
        <v>1018</v>
      </c>
      <c r="R891">
        <v>1</v>
      </c>
      <c r="S891">
        <v>20000</v>
      </c>
      <c r="T891"/>
      <c r="U891" s="9"/>
      <c r="V891" s="9"/>
      <c r="W891" s="9"/>
      <c r="X891" s="9"/>
    </row>
    <row r="892" spans="1:24">
      <c r="A892" s="13" t="s">
        <v>19</v>
      </c>
      <c r="B892" s="1"/>
      <c r="C892" s="1" t="s">
        <v>26</v>
      </c>
      <c r="D892" s="3">
        <v>20000</v>
      </c>
      <c r="E892"/>
      <c r="F892"/>
      <c r="G892"/>
      <c r="H892"/>
      <c r="I892"/>
      <c r="J892"/>
      <c r="K892"/>
      <c r="L892"/>
      <c r="M892" s="18" t="s">
        <v>309</v>
      </c>
      <c r="N892" t="s">
        <v>1265</v>
      </c>
      <c r="O892" t="s">
        <v>93</v>
      </c>
      <c r="P892" s="1" t="s">
        <v>623</v>
      </c>
      <c r="Q892" s="13" t="s">
        <v>1018</v>
      </c>
      <c r="R892">
        <v>1</v>
      </c>
      <c r="S892">
        <v>20000</v>
      </c>
      <c r="T892"/>
      <c r="U892" s="9"/>
      <c r="V892" s="9"/>
      <c r="W892" s="9"/>
      <c r="X892" s="9"/>
    </row>
    <row r="893" spans="1:24">
      <c r="A893" s="13" t="s">
        <v>19</v>
      </c>
      <c r="B893" s="1"/>
      <c r="C893" s="1" t="s">
        <v>26</v>
      </c>
      <c r="D893" s="3">
        <v>20000</v>
      </c>
      <c r="E893"/>
      <c r="F893"/>
      <c r="G893"/>
      <c r="H893"/>
      <c r="I893"/>
      <c r="J893"/>
      <c r="K893"/>
      <c r="L893"/>
      <c r="M893" s="18" t="s">
        <v>309</v>
      </c>
      <c r="N893" t="s">
        <v>1265</v>
      </c>
      <c r="O893" t="s">
        <v>93</v>
      </c>
      <c r="P893" s="1" t="s">
        <v>701</v>
      </c>
      <c r="Q893" s="13" t="s">
        <v>1018</v>
      </c>
      <c r="R893">
        <v>1</v>
      </c>
      <c r="S893">
        <v>20000</v>
      </c>
      <c r="T893"/>
      <c r="U893" s="9"/>
      <c r="V893" s="9"/>
      <c r="W893" s="9"/>
      <c r="X893" s="9"/>
    </row>
    <row r="894" spans="1:24">
      <c r="A894" s="13" t="s">
        <v>19</v>
      </c>
      <c r="B894" s="1"/>
      <c r="C894" s="1" t="s">
        <v>26</v>
      </c>
      <c r="D894" s="3">
        <v>20000</v>
      </c>
      <c r="E894"/>
      <c r="F894"/>
      <c r="G894"/>
      <c r="H894"/>
      <c r="I894"/>
      <c r="J894"/>
      <c r="K894"/>
      <c r="L894"/>
      <c r="M894" s="18" t="s">
        <v>309</v>
      </c>
      <c r="N894" t="s">
        <v>1265</v>
      </c>
      <c r="O894" t="s">
        <v>93</v>
      </c>
      <c r="P894" s="1" t="s">
        <v>611</v>
      </c>
      <c r="Q894" s="13" t="s">
        <v>1018</v>
      </c>
      <c r="R894">
        <v>1</v>
      </c>
      <c r="S894">
        <v>20000</v>
      </c>
      <c r="T894"/>
      <c r="U894" s="9"/>
      <c r="V894" s="9"/>
      <c r="W894" s="9"/>
      <c r="X894" s="9"/>
    </row>
    <row r="895" spans="1:24">
      <c r="A895" s="13" t="s">
        <v>19</v>
      </c>
      <c r="B895" s="1"/>
      <c r="C895" s="1" t="s">
        <v>26</v>
      </c>
      <c r="D895" s="3">
        <v>20000</v>
      </c>
      <c r="E895"/>
      <c r="F895"/>
      <c r="G895"/>
      <c r="H895"/>
      <c r="I895"/>
      <c r="J895"/>
      <c r="K895"/>
      <c r="L895"/>
      <c r="M895" s="18" t="s">
        <v>309</v>
      </c>
      <c r="N895" t="s">
        <v>1265</v>
      </c>
      <c r="O895" t="s">
        <v>93</v>
      </c>
      <c r="P895" s="1" t="s">
        <v>623</v>
      </c>
      <c r="Q895" s="13" t="s">
        <v>1018</v>
      </c>
      <c r="R895">
        <v>1</v>
      </c>
      <c r="S895">
        <v>20000</v>
      </c>
      <c r="T895"/>
      <c r="U895" s="9"/>
      <c r="V895" s="9"/>
      <c r="W895" s="9"/>
      <c r="X895" s="9"/>
    </row>
    <row r="896" spans="1:24">
      <c r="A896" s="13" t="s">
        <v>19</v>
      </c>
      <c r="B896" s="1"/>
      <c r="C896" s="1" t="s">
        <v>26</v>
      </c>
      <c r="D896" s="3">
        <v>20000</v>
      </c>
      <c r="E896"/>
      <c r="F896"/>
      <c r="G896"/>
      <c r="H896"/>
      <c r="I896"/>
      <c r="J896"/>
      <c r="K896"/>
      <c r="L896"/>
      <c r="M896" s="18" t="s">
        <v>309</v>
      </c>
      <c r="N896" t="s">
        <v>1265</v>
      </c>
      <c r="O896" t="s">
        <v>93</v>
      </c>
      <c r="P896" s="1" t="s">
        <v>623</v>
      </c>
      <c r="Q896" s="13" t="s">
        <v>1018</v>
      </c>
      <c r="R896">
        <v>1</v>
      </c>
      <c r="S896">
        <v>20000</v>
      </c>
      <c r="T896"/>
      <c r="U896" s="9"/>
      <c r="V896" s="9"/>
      <c r="W896" s="9"/>
      <c r="X896" s="9"/>
    </row>
    <row r="897" spans="1:24">
      <c r="A897" s="13" t="s">
        <v>19</v>
      </c>
      <c r="B897" s="1"/>
      <c r="C897" s="1" t="s">
        <v>26</v>
      </c>
      <c r="D897" s="3">
        <v>20000</v>
      </c>
      <c r="E897"/>
      <c r="F897"/>
      <c r="G897"/>
      <c r="H897"/>
      <c r="I897"/>
      <c r="J897"/>
      <c r="K897"/>
      <c r="L897"/>
      <c r="M897" s="18" t="s">
        <v>309</v>
      </c>
      <c r="N897" t="s">
        <v>1265</v>
      </c>
      <c r="O897" t="s">
        <v>93</v>
      </c>
      <c r="P897" s="1" t="s">
        <v>790</v>
      </c>
      <c r="Q897" s="13" t="s">
        <v>1018</v>
      </c>
      <c r="R897">
        <v>1</v>
      </c>
      <c r="S897">
        <v>20000</v>
      </c>
      <c r="T897"/>
      <c r="U897" s="9"/>
      <c r="V897" s="9"/>
      <c r="W897" s="9"/>
      <c r="X897" s="9"/>
    </row>
    <row r="898" spans="1:24">
      <c r="A898" s="13" t="s">
        <v>19</v>
      </c>
      <c r="B898" s="1"/>
      <c r="C898" s="1" t="s">
        <v>26</v>
      </c>
      <c r="D898" s="3">
        <v>20000</v>
      </c>
      <c r="E898"/>
      <c r="F898"/>
      <c r="G898"/>
      <c r="H898"/>
      <c r="I898"/>
      <c r="J898"/>
      <c r="K898"/>
      <c r="L898"/>
      <c r="M898" s="18" t="s">
        <v>309</v>
      </c>
      <c r="N898" t="s">
        <v>1265</v>
      </c>
      <c r="O898" t="s">
        <v>93</v>
      </c>
      <c r="P898" s="1" t="s">
        <v>793</v>
      </c>
      <c r="Q898" s="13" t="s">
        <v>1018</v>
      </c>
      <c r="R898">
        <v>1</v>
      </c>
      <c r="S898">
        <v>20000</v>
      </c>
      <c r="T898"/>
      <c r="U898" s="9"/>
      <c r="V898" s="9"/>
      <c r="W898" s="9"/>
      <c r="X898" s="9"/>
    </row>
    <row r="899" spans="1:24">
      <c r="A899" s="13" t="s">
        <v>19</v>
      </c>
      <c r="B899" s="1"/>
      <c r="C899" s="1" t="s">
        <v>26</v>
      </c>
      <c r="D899" s="3">
        <v>20000</v>
      </c>
      <c r="E899"/>
      <c r="F899"/>
      <c r="G899"/>
      <c r="H899"/>
      <c r="I899"/>
      <c r="J899"/>
      <c r="K899"/>
      <c r="L899"/>
      <c r="M899" s="18" t="s">
        <v>309</v>
      </c>
      <c r="N899" t="s">
        <v>1265</v>
      </c>
      <c r="O899" t="s">
        <v>93</v>
      </c>
      <c r="P899" s="1" t="s">
        <v>794</v>
      </c>
      <c r="Q899" s="13" t="s">
        <v>1018</v>
      </c>
      <c r="R899">
        <v>1</v>
      </c>
      <c r="S899">
        <v>20000</v>
      </c>
      <c r="T899"/>
      <c r="U899" s="9"/>
      <c r="V899" s="9"/>
      <c r="W899" s="9"/>
      <c r="X899" s="9"/>
    </row>
    <row r="900" spans="1:24">
      <c r="A900" s="13" t="s">
        <v>19</v>
      </c>
      <c r="B900" s="1"/>
      <c r="C900" s="1" t="s">
        <v>26</v>
      </c>
      <c r="D900" s="3">
        <v>60000</v>
      </c>
      <c r="E900"/>
      <c r="F900"/>
      <c r="G900"/>
      <c r="H900"/>
      <c r="I900"/>
      <c r="J900"/>
      <c r="K900"/>
      <c r="L900"/>
      <c r="M900" s="18" t="s">
        <v>309</v>
      </c>
      <c r="N900" t="s">
        <v>1265</v>
      </c>
      <c r="O900" t="s">
        <v>93</v>
      </c>
      <c r="P900" s="1" t="s">
        <v>795</v>
      </c>
      <c r="Q900" s="13" t="s">
        <v>1018</v>
      </c>
      <c r="R900">
        <v>3</v>
      </c>
      <c r="S900">
        <v>20000</v>
      </c>
      <c r="T900"/>
      <c r="U900" s="9"/>
      <c r="V900" s="9"/>
      <c r="W900" s="9"/>
      <c r="X900" s="9"/>
    </row>
    <row r="901" spans="1:24">
      <c r="A901" s="13" t="s">
        <v>19</v>
      </c>
      <c r="B901" s="1"/>
      <c r="C901" s="1" t="s">
        <v>26</v>
      </c>
      <c r="D901" s="3">
        <v>20000</v>
      </c>
      <c r="E901"/>
      <c r="F901"/>
      <c r="G901"/>
      <c r="H901"/>
      <c r="I901"/>
      <c r="J901"/>
      <c r="K901"/>
      <c r="L901"/>
      <c r="M901" s="18" t="s">
        <v>309</v>
      </c>
      <c r="N901" t="s">
        <v>1265</v>
      </c>
      <c r="O901" t="s">
        <v>93</v>
      </c>
      <c r="P901" s="1" t="s">
        <v>796</v>
      </c>
      <c r="Q901" s="13" t="s">
        <v>1018</v>
      </c>
      <c r="R901">
        <v>1</v>
      </c>
      <c r="S901">
        <v>20000</v>
      </c>
      <c r="T901"/>
      <c r="U901" s="9"/>
      <c r="V901" s="9"/>
      <c r="W901" s="9"/>
      <c r="X901" s="9"/>
    </row>
    <row r="902" spans="1:24">
      <c r="A902" s="13" t="s">
        <v>19</v>
      </c>
      <c r="B902" s="1"/>
      <c r="C902" s="1" t="s">
        <v>26</v>
      </c>
      <c r="D902" s="3">
        <v>20000</v>
      </c>
      <c r="E902"/>
      <c r="F902"/>
      <c r="G902"/>
      <c r="H902"/>
      <c r="I902"/>
      <c r="J902"/>
      <c r="K902"/>
      <c r="L902"/>
      <c r="M902" s="18" t="s">
        <v>309</v>
      </c>
      <c r="N902" t="s">
        <v>1265</v>
      </c>
      <c r="O902" t="s">
        <v>93</v>
      </c>
      <c r="P902" s="1" t="s">
        <v>770</v>
      </c>
      <c r="Q902" s="13" t="s">
        <v>1018</v>
      </c>
      <c r="R902">
        <v>1</v>
      </c>
      <c r="S902">
        <v>20000</v>
      </c>
      <c r="T902"/>
      <c r="U902" s="9"/>
      <c r="V902" s="9"/>
      <c r="W902" s="9"/>
      <c r="X902" s="9"/>
    </row>
    <row r="903" spans="1:24">
      <c r="A903" s="13" t="s">
        <v>19</v>
      </c>
      <c r="B903" s="1"/>
      <c r="C903" s="1" t="s">
        <v>26</v>
      </c>
      <c r="D903" s="3">
        <v>60000</v>
      </c>
      <c r="E903"/>
      <c r="F903"/>
      <c r="G903"/>
      <c r="H903"/>
      <c r="I903"/>
      <c r="J903"/>
      <c r="K903"/>
      <c r="L903"/>
      <c r="M903" s="18" t="s">
        <v>309</v>
      </c>
      <c r="N903" t="s">
        <v>1265</v>
      </c>
      <c r="O903" t="s">
        <v>93</v>
      </c>
      <c r="P903" s="1" t="s">
        <v>797</v>
      </c>
      <c r="Q903" s="13" t="s">
        <v>1018</v>
      </c>
      <c r="R903">
        <v>4</v>
      </c>
      <c r="S903">
        <v>15000</v>
      </c>
      <c r="T903"/>
      <c r="U903" s="9"/>
      <c r="V903" s="9"/>
      <c r="W903" s="9"/>
      <c r="X903" s="9"/>
    </row>
    <row r="904" spans="1:24">
      <c r="A904" s="13" t="s">
        <v>19</v>
      </c>
      <c r="B904" s="1"/>
      <c r="C904" s="1" t="s">
        <v>29</v>
      </c>
      <c r="D904" s="3">
        <v>20000</v>
      </c>
      <c r="E904"/>
      <c r="F904"/>
      <c r="G904"/>
      <c r="H904"/>
      <c r="I904"/>
      <c r="J904"/>
      <c r="K904"/>
      <c r="L904"/>
      <c r="M904" s="18" t="s">
        <v>309</v>
      </c>
      <c r="N904" t="s">
        <v>1265</v>
      </c>
      <c r="O904" t="s">
        <v>93</v>
      </c>
      <c r="P904" s="1" t="s">
        <v>30</v>
      </c>
      <c r="Q904" s="13" t="s">
        <v>1018</v>
      </c>
      <c r="R904">
        <v>4</v>
      </c>
      <c r="S904">
        <v>5000</v>
      </c>
      <c r="T904"/>
      <c r="U904" s="9"/>
      <c r="V904" s="9"/>
      <c r="W904" s="9"/>
      <c r="X904" s="9"/>
    </row>
    <row r="905" spans="1:24">
      <c r="A905" s="13" t="s">
        <v>19</v>
      </c>
      <c r="B905" s="1"/>
      <c r="C905" s="1" t="s">
        <v>29</v>
      </c>
      <c r="D905" s="3">
        <v>10000</v>
      </c>
      <c r="E905"/>
      <c r="F905"/>
      <c r="G905"/>
      <c r="H905"/>
      <c r="I905"/>
      <c r="J905"/>
      <c r="K905"/>
      <c r="L905"/>
      <c r="M905" s="18" t="s">
        <v>309</v>
      </c>
      <c r="N905" t="s">
        <v>1265</v>
      </c>
      <c r="O905" t="s">
        <v>93</v>
      </c>
      <c r="P905" s="1" t="s">
        <v>30</v>
      </c>
      <c r="Q905" s="13" t="s">
        <v>1018</v>
      </c>
      <c r="R905">
        <v>2</v>
      </c>
      <c r="S905">
        <v>5000</v>
      </c>
      <c r="T905"/>
      <c r="U905" s="9"/>
      <c r="V905" s="9"/>
      <c r="W905" s="9"/>
      <c r="X905" s="9"/>
    </row>
    <row r="906" spans="1:24">
      <c r="A906" s="13" t="s">
        <v>19</v>
      </c>
      <c r="B906" s="1"/>
      <c r="C906" s="1" t="s">
        <v>29</v>
      </c>
      <c r="D906" s="3">
        <v>20000</v>
      </c>
      <c r="E906"/>
      <c r="F906"/>
      <c r="G906"/>
      <c r="H906"/>
      <c r="I906"/>
      <c r="J906"/>
      <c r="K906"/>
      <c r="L906"/>
      <c r="M906" s="18" t="s">
        <v>309</v>
      </c>
      <c r="N906" t="s">
        <v>1265</v>
      </c>
      <c r="O906" t="s">
        <v>93</v>
      </c>
      <c r="P906" s="1" t="s">
        <v>30</v>
      </c>
      <c r="Q906" s="13" t="s">
        <v>1018</v>
      </c>
      <c r="R906">
        <v>4</v>
      </c>
      <c r="S906">
        <v>5000</v>
      </c>
      <c r="T906"/>
      <c r="U906" s="9"/>
      <c r="V906" s="9"/>
      <c r="W906" s="9"/>
      <c r="X906" s="9"/>
    </row>
    <row r="907" spans="1:24">
      <c r="A907" s="13" t="s">
        <v>19</v>
      </c>
      <c r="B907" s="1"/>
      <c r="C907" s="1" t="s">
        <v>29</v>
      </c>
      <c r="D907" s="3">
        <v>50000</v>
      </c>
      <c r="E907"/>
      <c r="F907"/>
      <c r="G907"/>
      <c r="H907"/>
      <c r="I907"/>
      <c r="J907"/>
      <c r="K907"/>
      <c r="L907"/>
      <c r="M907" s="18" t="s">
        <v>309</v>
      </c>
      <c r="N907" t="s">
        <v>1265</v>
      </c>
      <c r="O907" t="s">
        <v>93</v>
      </c>
      <c r="P907" s="1" t="s">
        <v>30</v>
      </c>
      <c r="Q907" s="13" t="s">
        <v>1018</v>
      </c>
      <c r="R907">
        <v>10</v>
      </c>
      <c r="S907">
        <v>5000</v>
      </c>
      <c r="T907"/>
      <c r="U907" s="9"/>
      <c r="V907" s="9"/>
      <c r="W907" s="9"/>
      <c r="X907" s="9"/>
    </row>
    <row r="908" spans="1:24">
      <c r="A908" s="13" t="s">
        <v>19</v>
      </c>
      <c r="B908" s="1"/>
      <c r="C908" s="1" t="s">
        <v>29</v>
      </c>
      <c r="D908" s="3">
        <v>15000</v>
      </c>
      <c r="E908"/>
      <c r="F908"/>
      <c r="G908"/>
      <c r="H908"/>
      <c r="I908"/>
      <c r="J908"/>
      <c r="K908"/>
      <c r="L908"/>
      <c r="M908" s="18" t="s">
        <v>309</v>
      </c>
      <c r="N908" t="s">
        <v>1265</v>
      </c>
      <c r="O908" t="s">
        <v>93</v>
      </c>
      <c r="P908" s="1" t="s">
        <v>30</v>
      </c>
      <c r="Q908" s="13" t="s">
        <v>1018</v>
      </c>
      <c r="R908">
        <v>3</v>
      </c>
      <c r="S908">
        <v>5000</v>
      </c>
      <c r="T908"/>
      <c r="U908" s="9"/>
      <c r="V908" s="9"/>
      <c r="W908" s="9"/>
      <c r="X908" s="9"/>
    </row>
    <row r="909" spans="1:24">
      <c r="A909" s="13" t="s">
        <v>19</v>
      </c>
      <c r="B909" s="1"/>
      <c r="C909" s="1" t="s">
        <v>29</v>
      </c>
      <c r="D909" s="3">
        <v>15000</v>
      </c>
      <c r="E909"/>
      <c r="F909"/>
      <c r="G909"/>
      <c r="H909"/>
      <c r="I909"/>
      <c r="J909"/>
      <c r="K909"/>
      <c r="L909"/>
      <c r="M909" s="18" t="s">
        <v>309</v>
      </c>
      <c r="N909" t="s">
        <v>1265</v>
      </c>
      <c r="O909" t="s">
        <v>93</v>
      </c>
      <c r="P909" s="1" t="s">
        <v>30</v>
      </c>
      <c r="Q909" s="13" t="s">
        <v>1018</v>
      </c>
      <c r="R909">
        <v>3</v>
      </c>
      <c r="S909">
        <v>5000</v>
      </c>
      <c r="T909"/>
      <c r="U909" s="9"/>
      <c r="V909" s="9"/>
      <c r="W909" s="9"/>
      <c r="X909" s="9"/>
    </row>
    <row r="910" spans="1:24">
      <c r="A910" s="13" t="s">
        <v>19</v>
      </c>
      <c r="B910" s="1"/>
      <c r="C910" s="1" t="s">
        <v>29</v>
      </c>
      <c r="D910" s="3">
        <v>20000</v>
      </c>
      <c r="E910"/>
      <c r="F910"/>
      <c r="G910"/>
      <c r="H910"/>
      <c r="I910"/>
      <c r="J910"/>
      <c r="K910"/>
      <c r="L910"/>
      <c r="M910" s="18" t="s">
        <v>309</v>
      </c>
      <c r="N910" t="s">
        <v>1265</v>
      </c>
      <c r="O910" t="s">
        <v>93</v>
      </c>
      <c r="P910" s="1" t="s">
        <v>30</v>
      </c>
      <c r="Q910" s="13" t="s">
        <v>1018</v>
      </c>
      <c r="R910">
        <v>4</v>
      </c>
      <c r="S910">
        <v>5000</v>
      </c>
      <c r="T910"/>
      <c r="U910" s="9"/>
      <c r="V910" s="9"/>
      <c r="W910" s="9"/>
      <c r="X910" s="9"/>
    </row>
    <row r="911" spans="1:24">
      <c r="A911" s="13" t="s">
        <v>19</v>
      </c>
      <c r="B911" s="1"/>
      <c r="C911" s="1" t="s">
        <v>29</v>
      </c>
      <c r="D911" s="3">
        <v>30000</v>
      </c>
      <c r="E911"/>
      <c r="F911"/>
      <c r="G911"/>
      <c r="H911"/>
      <c r="I911"/>
      <c r="J911"/>
      <c r="K911"/>
      <c r="L911"/>
      <c r="M911" s="18" t="s">
        <v>309</v>
      </c>
      <c r="N911" t="s">
        <v>1265</v>
      </c>
      <c r="O911" t="s">
        <v>93</v>
      </c>
      <c r="P911" s="1" t="s">
        <v>30</v>
      </c>
      <c r="Q911" s="13" t="s">
        <v>1018</v>
      </c>
      <c r="R911">
        <v>6</v>
      </c>
      <c r="S911">
        <v>5000</v>
      </c>
      <c r="T911"/>
      <c r="U911" s="9"/>
      <c r="V911" s="9"/>
      <c r="W911" s="9"/>
      <c r="X911" s="9"/>
    </row>
    <row r="912" spans="1:24">
      <c r="A912" s="13" t="s">
        <v>19</v>
      </c>
      <c r="B912" s="1"/>
      <c r="C912" s="1" t="s">
        <v>29</v>
      </c>
      <c r="D912" s="3">
        <v>15000</v>
      </c>
      <c r="E912"/>
      <c r="F912"/>
      <c r="G912"/>
      <c r="H912"/>
      <c r="I912"/>
      <c r="J912"/>
      <c r="K912"/>
      <c r="L912"/>
      <c r="M912" s="18" t="s">
        <v>309</v>
      </c>
      <c r="N912" t="s">
        <v>1265</v>
      </c>
      <c r="O912" t="s">
        <v>93</v>
      </c>
      <c r="P912" s="1" t="s">
        <v>30</v>
      </c>
      <c r="Q912" s="13" t="s">
        <v>1018</v>
      </c>
      <c r="R912">
        <v>3</v>
      </c>
      <c r="S912">
        <v>5000</v>
      </c>
      <c r="T912"/>
      <c r="U912" s="9"/>
      <c r="V912" s="9"/>
      <c r="W912" s="9"/>
      <c r="X912" s="9"/>
    </row>
    <row r="913" spans="1:24">
      <c r="A913" s="13" t="s">
        <v>19</v>
      </c>
      <c r="B913" s="1"/>
      <c r="C913" s="1" t="s">
        <v>32</v>
      </c>
      <c r="D913" s="3">
        <v>5000</v>
      </c>
      <c r="E913"/>
      <c r="F913"/>
      <c r="G913"/>
      <c r="H913"/>
      <c r="I913"/>
      <c r="J913"/>
      <c r="K913"/>
      <c r="L913"/>
      <c r="M913" s="18" t="s">
        <v>309</v>
      </c>
      <c r="N913" t="s">
        <v>1265</v>
      </c>
      <c r="O913" t="s">
        <v>93</v>
      </c>
      <c r="P913" s="1" t="s">
        <v>515</v>
      </c>
      <c r="Q913" s="13" t="s">
        <v>1018</v>
      </c>
      <c r="R913">
        <v>1</v>
      </c>
      <c r="S913">
        <v>5000</v>
      </c>
      <c r="T913"/>
      <c r="U913" s="9"/>
      <c r="V913" s="9"/>
      <c r="W913" s="9"/>
      <c r="X913" s="9"/>
    </row>
    <row r="914" spans="1:24">
      <c r="A914" s="13" t="s">
        <v>19</v>
      </c>
      <c r="B914" s="1"/>
      <c r="C914" s="1" t="s">
        <v>32</v>
      </c>
      <c r="D914" s="3">
        <v>10000</v>
      </c>
      <c r="E914"/>
      <c r="F914"/>
      <c r="G914"/>
      <c r="H914"/>
      <c r="I914"/>
      <c r="J914"/>
      <c r="K914"/>
      <c r="L914"/>
      <c r="M914" s="18" t="s">
        <v>309</v>
      </c>
      <c r="N914" t="s">
        <v>1265</v>
      </c>
      <c r="O914" t="s">
        <v>93</v>
      </c>
      <c r="P914" s="1" t="s">
        <v>515</v>
      </c>
      <c r="Q914" s="13" t="s">
        <v>1018</v>
      </c>
      <c r="R914">
        <v>2</v>
      </c>
      <c r="S914">
        <v>5000</v>
      </c>
      <c r="T914"/>
      <c r="U914" s="9"/>
      <c r="V914" s="9"/>
      <c r="W914" s="9"/>
      <c r="X914" s="9"/>
    </row>
    <row r="915" spans="1:24">
      <c r="A915" s="13" t="s">
        <v>19</v>
      </c>
      <c r="B915" s="1"/>
      <c r="C915" s="1" t="s">
        <v>32</v>
      </c>
      <c r="D915" s="3">
        <v>10000</v>
      </c>
      <c r="E915"/>
      <c r="F915"/>
      <c r="G915"/>
      <c r="H915"/>
      <c r="I915"/>
      <c r="J915"/>
      <c r="K915"/>
      <c r="L915"/>
      <c r="M915" s="18" t="s">
        <v>309</v>
      </c>
      <c r="N915" t="s">
        <v>1265</v>
      </c>
      <c r="O915" t="s">
        <v>93</v>
      </c>
      <c r="P915" s="1" t="s">
        <v>515</v>
      </c>
      <c r="Q915" s="13" t="s">
        <v>1018</v>
      </c>
      <c r="R915">
        <v>2</v>
      </c>
      <c r="S915">
        <v>5000</v>
      </c>
      <c r="T915"/>
      <c r="U915" s="9"/>
      <c r="V915" s="9"/>
      <c r="W915" s="9"/>
      <c r="X915" s="9"/>
    </row>
    <row r="916" spans="1:24">
      <c r="A916" s="13" t="s">
        <v>19</v>
      </c>
      <c r="B916" s="1"/>
      <c r="C916" s="1" t="s">
        <v>32</v>
      </c>
      <c r="D916" s="3">
        <v>15000</v>
      </c>
      <c r="E916"/>
      <c r="F916"/>
      <c r="G916"/>
      <c r="H916"/>
      <c r="I916"/>
      <c r="J916"/>
      <c r="K916"/>
      <c r="L916"/>
      <c r="M916" s="18" t="s">
        <v>309</v>
      </c>
      <c r="N916" t="s">
        <v>1265</v>
      </c>
      <c r="O916" t="s">
        <v>93</v>
      </c>
      <c r="P916" s="1" t="s">
        <v>515</v>
      </c>
      <c r="Q916" s="13" t="s">
        <v>1018</v>
      </c>
      <c r="R916">
        <v>3</v>
      </c>
      <c r="S916">
        <v>5000</v>
      </c>
      <c r="T916"/>
      <c r="U916" s="9"/>
      <c r="V916" s="9"/>
      <c r="W916" s="9"/>
      <c r="X916" s="9"/>
    </row>
    <row r="917" spans="1:24">
      <c r="A917" s="13" t="s">
        <v>19</v>
      </c>
      <c r="B917" s="1"/>
      <c r="C917" s="1" t="s">
        <v>32</v>
      </c>
      <c r="D917" s="3">
        <v>5000</v>
      </c>
      <c r="E917"/>
      <c r="F917"/>
      <c r="G917"/>
      <c r="H917"/>
      <c r="I917"/>
      <c r="J917"/>
      <c r="K917"/>
      <c r="L917"/>
      <c r="M917" s="18" t="s">
        <v>309</v>
      </c>
      <c r="N917" t="s">
        <v>1265</v>
      </c>
      <c r="O917" t="s">
        <v>93</v>
      </c>
      <c r="P917" s="1" t="s">
        <v>515</v>
      </c>
      <c r="Q917" s="13" t="s">
        <v>1018</v>
      </c>
      <c r="R917">
        <v>1</v>
      </c>
      <c r="S917">
        <v>5000</v>
      </c>
      <c r="T917"/>
      <c r="U917" s="9"/>
      <c r="V917" s="9"/>
      <c r="W917" s="9"/>
      <c r="X917" s="9"/>
    </row>
    <row r="918" spans="1:24">
      <c r="A918" s="13" t="s">
        <v>19</v>
      </c>
      <c r="B918" s="1"/>
      <c r="C918" s="1" t="s">
        <v>32</v>
      </c>
      <c r="D918" s="3">
        <v>5000</v>
      </c>
      <c r="E918"/>
      <c r="F918"/>
      <c r="G918"/>
      <c r="H918"/>
      <c r="I918"/>
      <c r="J918"/>
      <c r="K918"/>
      <c r="L918"/>
      <c r="M918" s="18" t="s">
        <v>309</v>
      </c>
      <c r="N918" t="s">
        <v>1265</v>
      </c>
      <c r="O918" t="s">
        <v>93</v>
      </c>
      <c r="P918" s="1" t="s">
        <v>515</v>
      </c>
      <c r="Q918" s="13" t="s">
        <v>1018</v>
      </c>
      <c r="R918">
        <v>1</v>
      </c>
      <c r="S918">
        <v>5000</v>
      </c>
      <c r="T918"/>
      <c r="U918" s="9"/>
      <c r="V918" s="9"/>
      <c r="W918" s="9"/>
      <c r="X918" s="9"/>
    </row>
    <row r="919" spans="1:24">
      <c r="A919" s="13" t="s">
        <v>19</v>
      </c>
      <c r="B919" s="1"/>
      <c r="C919" s="1" t="s">
        <v>32</v>
      </c>
      <c r="D919" s="3">
        <v>5000</v>
      </c>
      <c r="E919"/>
      <c r="F919"/>
      <c r="G919"/>
      <c r="H919"/>
      <c r="I919"/>
      <c r="J919"/>
      <c r="K919"/>
      <c r="L919"/>
      <c r="M919" s="18" t="s">
        <v>309</v>
      </c>
      <c r="N919" t="s">
        <v>1265</v>
      </c>
      <c r="O919" t="s">
        <v>93</v>
      </c>
      <c r="P919" s="1" t="s">
        <v>515</v>
      </c>
      <c r="Q919" s="13" t="s">
        <v>1018</v>
      </c>
      <c r="R919">
        <v>1</v>
      </c>
      <c r="S919">
        <v>5000</v>
      </c>
      <c r="T919"/>
      <c r="U919" s="9"/>
      <c r="V919" s="9"/>
      <c r="W919" s="9"/>
      <c r="X919" s="9"/>
    </row>
    <row r="920" spans="1:24">
      <c r="A920" s="13" t="s">
        <v>19</v>
      </c>
      <c r="B920" s="1"/>
      <c r="C920" s="1" t="s">
        <v>32</v>
      </c>
      <c r="D920" s="3">
        <v>5000</v>
      </c>
      <c r="E920"/>
      <c r="F920"/>
      <c r="G920"/>
      <c r="H920"/>
      <c r="I920"/>
      <c r="J920"/>
      <c r="K920"/>
      <c r="L920"/>
      <c r="M920" s="18" t="s">
        <v>309</v>
      </c>
      <c r="N920" t="s">
        <v>1265</v>
      </c>
      <c r="O920" t="s">
        <v>93</v>
      </c>
      <c r="P920" s="1" t="s">
        <v>798</v>
      </c>
      <c r="Q920" s="13" t="s">
        <v>1018</v>
      </c>
      <c r="R920">
        <v>1</v>
      </c>
      <c r="S920">
        <v>5000</v>
      </c>
      <c r="T920"/>
      <c r="U920" s="9"/>
      <c r="V920" s="9"/>
      <c r="W920" s="9"/>
      <c r="X920" s="9"/>
    </row>
    <row r="921" spans="1:24">
      <c r="A921" s="13" t="s">
        <v>19</v>
      </c>
      <c r="B921" s="1"/>
      <c r="C921" s="1" t="s">
        <v>32</v>
      </c>
      <c r="D921" s="3">
        <v>5000</v>
      </c>
      <c r="E921"/>
      <c r="F921"/>
      <c r="G921"/>
      <c r="H921"/>
      <c r="I921"/>
      <c r="J921"/>
      <c r="K921"/>
      <c r="L921"/>
      <c r="M921" s="18" t="s">
        <v>309</v>
      </c>
      <c r="N921" t="s">
        <v>1265</v>
      </c>
      <c r="O921" t="s">
        <v>93</v>
      </c>
      <c r="P921" s="1" t="s">
        <v>799</v>
      </c>
      <c r="Q921" s="13" t="s">
        <v>1018</v>
      </c>
      <c r="R921">
        <v>1</v>
      </c>
      <c r="S921">
        <v>5000</v>
      </c>
      <c r="T921"/>
      <c r="U921" s="9"/>
      <c r="V921" s="9"/>
      <c r="W921" s="9"/>
      <c r="X921" s="9"/>
    </row>
    <row r="922" spans="1:24">
      <c r="A922" s="13" t="s">
        <v>19</v>
      </c>
      <c r="B922" s="1"/>
      <c r="C922" s="1" t="s">
        <v>32</v>
      </c>
      <c r="D922" s="3">
        <v>10000</v>
      </c>
      <c r="E922"/>
      <c r="F922"/>
      <c r="G922"/>
      <c r="H922"/>
      <c r="I922"/>
      <c r="J922"/>
      <c r="K922"/>
      <c r="L922"/>
      <c r="M922" s="18" t="s">
        <v>309</v>
      </c>
      <c r="N922" t="s">
        <v>1265</v>
      </c>
      <c r="O922" t="s">
        <v>93</v>
      </c>
      <c r="P922" s="1" t="s">
        <v>800</v>
      </c>
      <c r="Q922" s="13" t="s">
        <v>1018</v>
      </c>
      <c r="R922">
        <v>2</v>
      </c>
      <c r="S922">
        <v>5000</v>
      </c>
      <c r="T922"/>
      <c r="U922" s="9"/>
      <c r="V922" s="9"/>
      <c r="W922" s="9"/>
      <c r="X922" s="9"/>
    </row>
    <row r="923" spans="1:24">
      <c r="A923" s="13" t="s">
        <v>19</v>
      </c>
      <c r="B923" s="1"/>
      <c r="C923" s="1" t="s">
        <v>32</v>
      </c>
      <c r="D923" s="3">
        <v>5000</v>
      </c>
      <c r="E923"/>
      <c r="F923"/>
      <c r="G923"/>
      <c r="H923"/>
      <c r="I923"/>
      <c r="J923"/>
      <c r="K923"/>
      <c r="L923"/>
      <c r="M923" s="18" t="s">
        <v>309</v>
      </c>
      <c r="N923" t="s">
        <v>1265</v>
      </c>
      <c r="O923" t="s">
        <v>93</v>
      </c>
      <c r="P923" s="1" t="s">
        <v>619</v>
      </c>
      <c r="Q923" s="13" t="s">
        <v>1018</v>
      </c>
      <c r="R923">
        <v>1</v>
      </c>
      <c r="S923">
        <v>5000</v>
      </c>
      <c r="T923"/>
      <c r="U923" s="9"/>
      <c r="V923" s="9"/>
      <c r="W923" s="9"/>
      <c r="X923" s="9"/>
    </row>
    <row r="924" spans="1:24">
      <c r="A924" s="13" t="s">
        <v>19</v>
      </c>
      <c r="B924" s="1"/>
      <c r="C924" s="1" t="s">
        <v>32</v>
      </c>
      <c r="D924" s="3">
        <v>5000</v>
      </c>
      <c r="E924"/>
      <c r="F924"/>
      <c r="G924"/>
      <c r="H924"/>
      <c r="I924"/>
      <c r="J924"/>
      <c r="K924"/>
      <c r="L924"/>
      <c r="M924" s="18" t="s">
        <v>309</v>
      </c>
      <c r="N924" t="s">
        <v>1265</v>
      </c>
      <c r="O924" t="s">
        <v>93</v>
      </c>
      <c r="P924" s="1" t="s">
        <v>600</v>
      </c>
      <c r="Q924" s="13" t="s">
        <v>1018</v>
      </c>
      <c r="R924">
        <v>1</v>
      </c>
      <c r="S924">
        <v>5000</v>
      </c>
      <c r="T924"/>
      <c r="U924" s="9"/>
      <c r="V924" s="9"/>
      <c r="W924" s="9"/>
      <c r="X924" s="9"/>
    </row>
    <row r="925" spans="1:24">
      <c r="A925" s="13" t="s">
        <v>19</v>
      </c>
      <c r="B925" s="1"/>
      <c r="C925" s="1" t="s">
        <v>32</v>
      </c>
      <c r="D925" s="3">
        <v>5000</v>
      </c>
      <c r="E925"/>
      <c r="F925"/>
      <c r="G925"/>
      <c r="H925"/>
      <c r="I925"/>
      <c r="J925"/>
      <c r="K925"/>
      <c r="L925"/>
      <c r="M925" s="18" t="s">
        <v>309</v>
      </c>
      <c r="N925" t="s">
        <v>1265</v>
      </c>
      <c r="O925" t="s">
        <v>93</v>
      </c>
      <c r="P925" s="1" t="s">
        <v>798</v>
      </c>
      <c r="Q925" s="13" t="s">
        <v>1018</v>
      </c>
      <c r="R925">
        <v>1</v>
      </c>
      <c r="S925">
        <v>5000</v>
      </c>
      <c r="T925"/>
      <c r="U925" s="9"/>
      <c r="V925" s="9"/>
      <c r="W925" s="9"/>
      <c r="X925" s="9"/>
    </row>
    <row r="926" spans="1:24">
      <c r="A926" s="13" t="s">
        <v>19</v>
      </c>
      <c r="B926" s="1"/>
      <c r="C926" s="1" t="s">
        <v>32</v>
      </c>
      <c r="D926" s="3">
        <v>5000</v>
      </c>
      <c r="E926"/>
      <c r="F926"/>
      <c r="G926"/>
      <c r="H926"/>
      <c r="I926"/>
      <c r="J926"/>
      <c r="K926"/>
      <c r="L926"/>
      <c r="M926" s="18" t="s">
        <v>309</v>
      </c>
      <c r="N926" t="s">
        <v>1265</v>
      </c>
      <c r="O926" t="s">
        <v>93</v>
      </c>
      <c r="P926" s="1" t="s">
        <v>621</v>
      </c>
      <c r="Q926" s="13" t="s">
        <v>1018</v>
      </c>
      <c r="R926">
        <v>1</v>
      </c>
      <c r="S926">
        <v>5000</v>
      </c>
      <c r="T926"/>
      <c r="U926" s="9"/>
      <c r="V926" s="9"/>
      <c r="W926" s="9"/>
      <c r="X926" s="9"/>
    </row>
    <row r="927" spans="1:24">
      <c r="A927" s="13" t="s">
        <v>19</v>
      </c>
      <c r="B927" s="1"/>
      <c r="C927" s="1" t="s">
        <v>32</v>
      </c>
      <c r="D927" s="3">
        <v>5000</v>
      </c>
      <c r="E927"/>
      <c r="F927"/>
      <c r="G927"/>
      <c r="H927"/>
      <c r="I927"/>
      <c r="J927"/>
      <c r="K927"/>
      <c r="L927"/>
      <c r="M927" s="18" t="s">
        <v>309</v>
      </c>
      <c r="N927" t="s">
        <v>1265</v>
      </c>
      <c r="O927" t="s">
        <v>93</v>
      </c>
      <c r="P927" s="1" t="s">
        <v>628</v>
      </c>
      <c r="Q927" s="13" t="s">
        <v>1018</v>
      </c>
      <c r="R927">
        <v>1</v>
      </c>
      <c r="S927">
        <v>5000</v>
      </c>
      <c r="T927"/>
      <c r="U927" s="9"/>
      <c r="V927" s="9"/>
      <c r="W927" s="9"/>
      <c r="X927" s="9"/>
    </row>
    <row r="928" spans="1:24">
      <c r="A928" s="13" t="s">
        <v>19</v>
      </c>
      <c r="B928" s="1"/>
      <c r="C928" s="1" t="s">
        <v>32</v>
      </c>
      <c r="D928" s="3">
        <v>5000</v>
      </c>
      <c r="E928"/>
      <c r="F928"/>
      <c r="G928"/>
      <c r="H928"/>
      <c r="I928"/>
      <c r="J928"/>
      <c r="K928"/>
      <c r="L928"/>
      <c r="M928" s="18" t="s">
        <v>309</v>
      </c>
      <c r="N928" t="s">
        <v>1265</v>
      </c>
      <c r="O928" t="s">
        <v>93</v>
      </c>
      <c r="P928" s="1" t="s">
        <v>710</v>
      </c>
      <c r="Q928" s="13" t="s">
        <v>1018</v>
      </c>
      <c r="R928">
        <v>1</v>
      </c>
      <c r="S928">
        <v>5000</v>
      </c>
      <c r="T928"/>
      <c r="U928" s="9"/>
      <c r="V928" s="9"/>
      <c r="W928" s="9"/>
      <c r="X928" s="9"/>
    </row>
    <row r="929" spans="1:24">
      <c r="A929" s="13" t="s">
        <v>19</v>
      </c>
      <c r="B929" s="1"/>
      <c r="C929" s="1" t="s">
        <v>32</v>
      </c>
      <c r="D929" s="3">
        <v>5000</v>
      </c>
      <c r="E929"/>
      <c r="F929"/>
      <c r="G929"/>
      <c r="H929"/>
      <c r="I929"/>
      <c r="J929"/>
      <c r="K929"/>
      <c r="L929"/>
      <c r="M929" s="18" t="s">
        <v>309</v>
      </c>
      <c r="N929" t="s">
        <v>1265</v>
      </c>
      <c r="O929" t="s">
        <v>93</v>
      </c>
      <c r="P929" s="1" t="s">
        <v>621</v>
      </c>
      <c r="Q929" s="13" t="s">
        <v>1018</v>
      </c>
      <c r="R929">
        <v>1</v>
      </c>
      <c r="S929">
        <v>5000</v>
      </c>
      <c r="T929"/>
      <c r="U929" s="9"/>
      <c r="V929" s="9"/>
      <c r="W929" s="9"/>
      <c r="X929" s="9"/>
    </row>
    <row r="930" spans="1:24">
      <c r="A930" s="13" t="s">
        <v>19</v>
      </c>
      <c r="B930" s="1"/>
      <c r="C930" s="1" t="s">
        <v>32</v>
      </c>
      <c r="D930" s="3">
        <v>5000</v>
      </c>
      <c r="E930"/>
      <c r="F930"/>
      <c r="G930"/>
      <c r="H930"/>
      <c r="I930"/>
      <c r="J930"/>
      <c r="K930"/>
      <c r="L930"/>
      <c r="M930" s="18" t="s">
        <v>309</v>
      </c>
      <c r="N930" t="s">
        <v>1265</v>
      </c>
      <c r="O930" t="s">
        <v>93</v>
      </c>
      <c r="P930" s="1" t="s">
        <v>628</v>
      </c>
      <c r="Q930" s="13" t="s">
        <v>1018</v>
      </c>
      <c r="R930">
        <v>1</v>
      </c>
      <c r="S930">
        <v>5000</v>
      </c>
      <c r="T930"/>
      <c r="U930" s="9"/>
      <c r="V930" s="9"/>
      <c r="W930" s="9"/>
      <c r="X930" s="9"/>
    </row>
    <row r="931" spans="1:24">
      <c r="A931" s="13" t="s">
        <v>19</v>
      </c>
      <c r="B931" s="1"/>
      <c r="C931" s="1" t="s">
        <v>32</v>
      </c>
      <c r="D931" s="3">
        <v>5000</v>
      </c>
      <c r="E931"/>
      <c r="F931"/>
      <c r="G931"/>
      <c r="H931"/>
      <c r="I931"/>
      <c r="J931"/>
      <c r="K931"/>
      <c r="L931"/>
      <c r="M931" s="18" t="s">
        <v>309</v>
      </c>
      <c r="N931" t="s">
        <v>1265</v>
      </c>
      <c r="O931" t="s">
        <v>93</v>
      </c>
      <c r="P931" s="1" t="s">
        <v>628</v>
      </c>
      <c r="Q931" s="13" t="s">
        <v>1018</v>
      </c>
      <c r="R931">
        <v>1</v>
      </c>
      <c r="S931">
        <v>5000</v>
      </c>
      <c r="T931"/>
      <c r="U931" s="9"/>
      <c r="V931" s="9"/>
      <c r="W931" s="9"/>
      <c r="X931" s="9"/>
    </row>
    <row r="932" spans="1:24">
      <c r="A932" s="13" t="s">
        <v>19</v>
      </c>
      <c r="B932" s="1"/>
      <c r="C932" s="1" t="s">
        <v>32</v>
      </c>
      <c r="D932" s="3">
        <v>5000</v>
      </c>
      <c r="E932"/>
      <c r="F932"/>
      <c r="G932"/>
      <c r="H932"/>
      <c r="I932"/>
      <c r="J932"/>
      <c r="K932"/>
      <c r="L932"/>
      <c r="M932" s="18" t="s">
        <v>309</v>
      </c>
      <c r="N932" t="s">
        <v>1265</v>
      </c>
      <c r="O932" t="s">
        <v>93</v>
      </c>
      <c r="P932" s="1" t="s">
        <v>798</v>
      </c>
      <c r="Q932" s="13" t="s">
        <v>1018</v>
      </c>
      <c r="R932">
        <v>1</v>
      </c>
      <c r="S932">
        <v>5000</v>
      </c>
      <c r="T932"/>
      <c r="U932" s="9"/>
      <c r="V932" s="9"/>
      <c r="W932" s="9"/>
      <c r="X932" s="9"/>
    </row>
    <row r="933" spans="1:24">
      <c r="A933" s="13" t="s">
        <v>19</v>
      </c>
      <c r="B933" s="1"/>
      <c r="C933" s="1" t="s">
        <v>32</v>
      </c>
      <c r="D933" s="3">
        <v>5000</v>
      </c>
      <c r="E933"/>
      <c r="F933"/>
      <c r="G933"/>
      <c r="H933"/>
      <c r="I933"/>
      <c r="J933"/>
      <c r="K933"/>
      <c r="L933"/>
      <c r="M933" s="18" t="s">
        <v>309</v>
      </c>
      <c r="N933" t="s">
        <v>1265</v>
      </c>
      <c r="O933" t="s">
        <v>93</v>
      </c>
      <c r="P933" s="1" t="s">
        <v>801</v>
      </c>
      <c r="Q933" s="13" t="s">
        <v>1018</v>
      </c>
      <c r="R933">
        <v>1</v>
      </c>
      <c r="S933">
        <v>5000</v>
      </c>
      <c r="T933"/>
      <c r="U933" s="9"/>
      <c r="V933" s="9"/>
      <c r="W933" s="9"/>
      <c r="X933" s="9"/>
    </row>
    <row r="934" spans="1:24">
      <c r="A934" s="13" t="s">
        <v>19</v>
      </c>
      <c r="B934" s="1"/>
      <c r="C934" s="1" t="s">
        <v>32</v>
      </c>
      <c r="D934" s="3">
        <v>5000</v>
      </c>
      <c r="E934"/>
      <c r="F934"/>
      <c r="G934"/>
      <c r="H934"/>
      <c r="I934"/>
      <c r="J934"/>
      <c r="K934"/>
      <c r="L934"/>
      <c r="M934" s="18" t="s">
        <v>309</v>
      </c>
      <c r="N934" t="s">
        <v>1265</v>
      </c>
      <c r="O934" t="s">
        <v>93</v>
      </c>
      <c r="P934" s="1" t="s">
        <v>802</v>
      </c>
      <c r="Q934" s="13" t="s">
        <v>1018</v>
      </c>
      <c r="R934">
        <v>1</v>
      </c>
      <c r="S934">
        <v>5000</v>
      </c>
      <c r="T934"/>
      <c r="U934" s="9"/>
      <c r="V934" s="9"/>
      <c r="W934" s="9"/>
      <c r="X934" s="9"/>
    </row>
    <row r="935" spans="1:24">
      <c r="A935" s="13" t="s">
        <v>19</v>
      </c>
      <c r="B935" s="1"/>
      <c r="C935" s="1" t="s">
        <v>32</v>
      </c>
      <c r="D935" s="3">
        <v>15000</v>
      </c>
      <c r="E935"/>
      <c r="F935"/>
      <c r="G935"/>
      <c r="H935"/>
      <c r="I935"/>
      <c r="J935"/>
      <c r="K935"/>
      <c r="L935"/>
      <c r="M935" s="18" t="s">
        <v>309</v>
      </c>
      <c r="N935" t="s">
        <v>1265</v>
      </c>
      <c r="O935" t="s">
        <v>93</v>
      </c>
      <c r="P935" s="1" t="s">
        <v>803</v>
      </c>
      <c r="Q935" s="13" t="s">
        <v>1018</v>
      </c>
      <c r="R935">
        <v>3</v>
      </c>
      <c r="S935">
        <v>5000</v>
      </c>
      <c r="T935"/>
      <c r="U935" s="9"/>
      <c r="V935" s="9"/>
      <c r="W935" s="9"/>
      <c r="X935" s="9"/>
    </row>
    <row r="936" spans="1:24">
      <c r="A936" s="13" t="s">
        <v>19</v>
      </c>
      <c r="B936" s="1"/>
      <c r="C936" s="1" t="s">
        <v>32</v>
      </c>
      <c r="D936" s="3">
        <v>5000</v>
      </c>
      <c r="E936"/>
      <c r="F936"/>
      <c r="G936"/>
      <c r="H936"/>
      <c r="I936"/>
      <c r="J936"/>
      <c r="K936"/>
      <c r="L936"/>
      <c r="M936" s="18" t="s">
        <v>309</v>
      </c>
      <c r="N936" t="s">
        <v>1265</v>
      </c>
      <c r="O936" t="s">
        <v>93</v>
      </c>
      <c r="P936" s="1" t="s">
        <v>804</v>
      </c>
      <c r="Q936" s="13" t="s">
        <v>1018</v>
      </c>
      <c r="R936">
        <v>1</v>
      </c>
      <c r="S936">
        <v>5000</v>
      </c>
      <c r="T936"/>
      <c r="U936" s="9"/>
      <c r="V936" s="9"/>
      <c r="W936" s="9"/>
      <c r="X936" s="9"/>
    </row>
    <row r="937" spans="1:24">
      <c r="A937" s="13" t="s">
        <v>19</v>
      </c>
      <c r="B937" s="1"/>
      <c r="C937" s="1" t="s">
        <v>32</v>
      </c>
      <c r="D937" s="3">
        <v>5000</v>
      </c>
      <c r="E937"/>
      <c r="F937"/>
      <c r="G937"/>
      <c r="H937"/>
      <c r="I937"/>
      <c r="J937"/>
      <c r="K937"/>
      <c r="L937"/>
      <c r="M937" s="18" t="s">
        <v>309</v>
      </c>
      <c r="N937" t="s">
        <v>1265</v>
      </c>
      <c r="O937" t="s">
        <v>93</v>
      </c>
      <c r="P937" s="1" t="s">
        <v>777</v>
      </c>
      <c r="Q937" s="13" t="s">
        <v>1018</v>
      </c>
      <c r="R937">
        <v>1</v>
      </c>
      <c r="S937">
        <v>5000</v>
      </c>
      <c r="T937"/>
      <c r="U937" s="9"/>
      <c r="V937" s="9"/>
      <c r="W937" s="9"/>
      <c r="X937" s="9"/>
    </row>
    <row r="938" spans="1:24">
      <c r="A938" s="13" t="s">
        <v>19</v>
      </c>
      <c r="B938" s="1"/>
      <c r="C938" s="1" t="s">
        <v>32</v>
      </c>
      <c r="D938" s="3">
        <v>20000</v>
      </c>
      <c r="E938"/>
      <c r="F938"/>
      <c r="G938"/>
      <c r="H938"/>
      <c r="I938"/>
      <c r="J938"/>
      <c r="K938"/>
      <c r="L938"/>
      <c r="M938" s="18" t="s">
        <v>309</v>
      </c>
      <c r="N938" t="s">
        <v>1265</v>
      </c>
      <c r="O938" t="s">
        <v>93</v>
      </c>
      <c r="P938" s="1" t="s">
        <v>805</v>
      </c>
      <c r="Q938" s="13" t="s">
        <v>1018</v>
      </c>
      <c r="R938">
        <v>4</v>
      </c>
      <c r="S938">
        <v>5000</v>
      </c>
      <c r="T938"/>
      <c r="U938" s="9"/>
      <c r="V938" s="9"/>
      <c r="W938" s="9"/>
      <c r="X938" s="9"/>
    </row>
    <row r="939" spans="1:24">
      <c r="A939" s="13"/>
      <c r="B939" s="1"/>
      <c r="C939" s="1"/>
      <c r="D939" s="3" t="str">
        <f>SUBTOTAL(9,D869:D938)</f>
        <v>0</v>
      </c>
      <c r="E939"/>
      <c r="F939"/>
      <c r="G939"/>
      <c r="H939"/>
      <c r="I939"/>
      <c r="J939"/>
      <c r="K939"/>
      <c r="L939"/>
      <c r="M939" s="18" t="s">
        <v>310</v>
      </c>
      <c r="N939" t="s">
        <v>1500</v>
      </c>
      <c r="O939" t="s">
        <v>93</v>
      </c>
      <c r="P939" s="1"/>
      <c r="Q939" s="13"/>
      <c r="R939"/>
      <c r="S939"/>
      <c r="T939"/>
      <c r="U939" s="9"/>
      <c r="V939" s="9"/>
      <c r="W939" s="9"/>
      <c r="X939" s="9"/>
    </row>
    <row r="940" spans="1:24">
      <c r="A940" s="13" t="s">
        <v>19</v>
      </c>
      <c r="B940" s="1"/>
      <c r="C940" s="1" t="s">
        <v>26</v>
      </c>
      <c r="D940" s="3">
        <v>32000</v>
      </c>
      <c r="E940"/>
      <c r="F940"/>
      <c r="G940"/>
      <c r="H940"/>
      <c r="I940"/>
      <c r="J940"/>
      <c r="K940"/>
      <c r="L940"/>
      <c r="M940" s="18" t="s">
        <v>311</v>
      </c>
      <c r="N940" t="s">
        <v>1292</v>
      </c>
      <c r="O940" t="s">
        <v>1395</v>
      </c>
      <c r="P940" s="1" t="s">
        <v>512</v>
      </c>
      <c r="Q940" s="13" t="s">
        <v>25</v>
      </c>
      <c r="R940">
        <v>1</v>
      </c>
      <c r="S940">
        <v>32000</v>
      </c>
      <c r="T940"/>
      <c r="U940" s="9"/>
      <c r="V940" s="9"/>
      <c r="W940" s="9"/>
      <c r="X940" s="9"/>
    </row>
    <row r="941" spans="1:24">
      <c r="A941" s="13" t="s">
        <v>19</v>
      </c>
      <c r="B941" s="1"/>
      <c r="C941" s="1" t="s">
        <v>26</v>
      </c>
      <c r="D941" s="3">
        <v>37000</v>
      </c>
      <c r="E941"/>
      <c r="F941"/>
      <c r="G941"/>
      <c r="H941"/>
      <c r="I941"/>
      <c r="J941"/>
      <c r="K941"/>
      <c r="L941"/>
      <c r="M941" s="18" t="s">
        <v>311</v>
      </c>
      <c r="N941" t="s">
        <v>1292</v>
      </c>
      <c r="O941" t="s">
        <v>1395</v>
      </c>
      <c r="P941" s="1" t="s">
        <v>806</v>
      </c>
      <c r="Q941" s="13" t="s">
        <v>25</v>
      </c>
      <c r="R941">
        <v>1</v>
      </c>
      <c r="S941">
        <v>37000</v>
      </c>
      <c r="T941"/>
      <c r="U941" s="9"/>
      <c r="V941" s="9"/>
      <c r="W941" s="9"/>
      <c r="X941" s="9"/>
    </row>
    <row r="942" spans="1:24">
      <c r="A942" s="13" t="s">
        <v>19</v>
      </c>
      <c r="B942" s="1"/>
      <c r="C942" s="1" t="s">
        <v>32</v>
      </c>
      <c r="D942" s="3">
        <v>5000</v>
      </c>
      <c r="E942"/>
      <c r="F942"/>
      <c r="G942"/>
      <c r="H942"/>
      <c r="I942"/>
      <c r="J942"/>
      <c r="K942"/>
      <c r="L942"/>
      <c r="M942" s="18" t="s">
        <v>311</v>
      </c>
      <c r="N942" t="s">
        <v>1292</v>
      </c>
      <c r="O942" t="s">
        <v>1395</v>
      </c>
      <c r="P942" s="1" t="s">
        <v>515</v>
      </c>
      <c r="Q942" s="13" t="s">
        <v>25</v>
      </c>
      <c r="R942">
        <v>1</v>
      </c>
      <c r="S942">
        <v>5000</v>
      </c>
      <c r="T942"/>
      <c r="U942" s="9"/>
      <c r="V942" s="9"/>
      <c r="W942" s="9"/>
      <c r="X942" s="9"/>
    </row>
    <row r="943" spans="1:24">
      <c r="A943" s="13" t="s">
        <v>19</v>
      </c>
      <c r="B943" s="1"/>
      <c r="C943" s="1" t="s">
        <v>32</v>
      </c>
      <c r="D943" s="3">
        <v>5000</v>
      </c>
      <c r="E943"/>
      <c r="F943"/>
      <c r="G943"/>
      <c r="H943"/>
      <c r="I943"/>
      <c r="J943"/>
      <c r="K943"/>
      <c r="L943"/>
      <c r="M943" s="18" t="s">
        <v>311</v>
      </c>
      <c r="N943" t="s">
        <v>1292</v>
      </c>
      <c r="O943" t="s">
        <v>1395</v>
      </c>
      <c r="P943" s="1" t="s">
        <v>807</v>
      </c>
      <c r="Q943" s="13" t="s">
        <v>25</v>
      </c>
      <c r="R943">
        <v>1</v>
      </c>
      <c r="S943">
        <v>5000</v>
      </c>
      <c r="T943"/>
      <c r="U943" s="9"/>
      <c r="V943" s="9"/>
      <c r="W943" s="9"/>
      <c r="X943" s="9"/>
    </row>
    <row r="944" spans="1:24">
      <c r="A944" s="13"/>
      <c r="B944" s="1"/>
      <c r="C944" s="1"/>
      <c r="D944" s="3" t="str">
        <f>SUBTOTAL(9,D940:D943)</f>
        <v>0</v>
      </c>
      <c r="E944"/>
      <c r="F944"/>
      <c r="G944"/>
      <c r="H944"/>
      <c r="I944"/>
      <c r="J944"/>
      <c r="K944"/>
      <c r="L944"/>
      <c r="M944" s="18" t="s">
        <v>312</v>
      </c>
      <c r="N944" t="s">
        <v>1501</v>
      </c>
      <c r="O944" t="s">
        <v>1395</v>
      </c>
      <c r="P944" s="1"/>
      <c r="Q944" s="13"/>
      <c r="R944"/>
      <c r="S944"/>
      <c r="T944"/>
      <c r="U944" s="9"/>
      <c r="V944" s="9"/>
      <c r="W944" s="9"/>
      <c r="X944" s="9"/>
    </row>
    <row r="945" spans="1:24">
      <c r="A945" s="13" t="s">
        <v>19</v>
      </c>
      <c r="B945" s="1"/>
      <c r="C945" s="1" t="s">
        <v>20</v>
      </c>
      <c r="D945" s="3">
        <v>60000</v>
      </c>
      <c r="E945"/>
      <c r="F945"/>
      <c r="G945"/>
      <c r="H945"/>
      <c r="I945"/>
      <c r="J945"/>
      <c r="K945"/>
      <c r="L945"/>
      <c r="M945" s="18" t="s">
        <v>313</v>
      </c>
      <c r="N945" t="s">
        <v>1295</v>
      </c>
      <c r="O945" t="s">
        <v>1395</v>
      </c>
      <c r="P945" s="1" t="s">
        <v>24</v>
      </c>
      <c r="Q945" s="13" t="s">
        <v>1018</v>
      </c>
      <c r="R945">
        <v>2</v>
      </c>
      <c r="S945">
        <v>30000</v>
      </c>
      <c r="T945"/>
      <c r="U945" s="9"/>
      <c r="V945" s="9"/>
      <c r="W945" s="9"/>
      <c r="X945" s="9"/>
    </row>
    <row r="946" spans="1:24">
      <c r="A946" s="13" t="s">
        <v>19</v>
      </c>
      <c r="B946" s="1"/>
      <c r="C946" s="1" t="s">
        <v>20</v>
      </c>
      <c r="D946" s="3">
        <v>120000</v>
      </c>
      <c r="E946"/>
      <c r="F946"/>
      <c r="G946"/>
      <c r="H946"/>
      <c r="I946"/>
      <c r="J946"/>
      <c r="K946"/>
      <c r="L946"/>
      <c r="M946" s="18" t="s">
        <v>313</v>
      </c>
      <c r="N946" t="s">
        <v>1295</v>
      </c>
      <c r="O946" t="s">
        <v>1395</v>
      </c>
      <c r="P946" s="1" t="s">
        <v>24</v>
      </c>
      <c r="Q946" s="13" t="s">
        <v>1018</v>
      </c>
      <c r="R946">
        <v>4</v>
      </c>
      <c r="S946">
        <v>30000</v>
      </c>
      <c r="T946"/>
      <c r="U946" s="9"/>
      <c r="V946" s="9"/>
      <c r="W946" s="9"/>
      <c r="X946" s="9"/>
    </row>
    <row r="947" spans="1:24">
      <c r="A947" s="13" t="s">
        <v>19</v>
      </c>
      <c r="B947" s="1"/>
      <c r="C947" s="1" t="s">
        <v>20</v>
      </c>
      <c r="D947" s="3">
        <v>120000</v>
      </c>
      <c r="E947"/>
      <c r="F947"/>
      <c r="G947"/>
      <c r="H947"/>
      <c r="I947"/>
      <c r="J947"/>
      <c r="K947"/>
      <c r="L947"/>
      <c r="M947" s="18" t="s">
        <v>313</v>
      </c>
      <c r="N947" t="s">
        <v>1295</v>
      </c>
      <c r="O947" t="s">
        <v>1395</v>
      </c>
      <c r="P947" s="1" t="s">
        <v>24</v>
      </c>
      <c r="Q947" s="13" t="s">
        <v>1018</v>
      </c>
      <c r="R947">
        <v>4</v>
      </c>
      <c r="S947">
        <v>30000</v>
      </c>
      <c r="T947"/>
      <c r="U947" s="9"/>
      <c r="V947" s="9"/>
      <c r="W947" s="9"/>
      <c r="X947" s="9"/>
    </row>
    <row r="948" spans="1:24">
      <c r="A948" s="13" t="s">
        <v>19</v>
      </c>
      <c r="B948" s="1"/>
      <c r="C948" s="1" t="s">
        <v>20</v>
      </c>
      <c r="D948" s="3">
        <v>120000</v>
      </c>
      <c r="E948"/>
      <c r="F948"/>
      <c r="G948"/>
      <c r="H948"/>
      <c r="I948"/>
      <c r="J948"/>
      <c r="K948"/>
      <c r="L948"/>
      <c r="M948" s="18" t="s">
        <v>313</v>
      </c>
      <c r="N948" t="s">
        <v>1295</v>
      </c>
      <c r="O948" t="s">
        <v>1395</v>
      </c>
      <c r="P948" s="1" t="s">
        <v>808</v>
      </c>
      <c r="Q948" s="13" t="s">
        <v>1018</v>
      </c>
      <c r="R948">
        <v>4</v>
      </c>
      <c r="S948">
        <v>30000</v>
      </c>
      <c r="T948"/>
      <c r="U948" s="9"/>
      <c r="V948" s="9"/>
      <c r="W948" s="9"/>
      <c r="X948" s="9"/>
    </row>
    <row r="949" spans="1:24">
      <c r="A949" s="13" t="s">
        <v>19</v>
      </c>
      <c r="B949" s="1"/>
      <c r="C949" s="1" t="s">
        <v>26</v>
      </c>
      <c r="D949" s="3">
        <v>32000</v>
      </c>
      <c r="E949"/>
      <c r="F949"/>
      <c r="G949"/>
      <c r="H949"/>
      <c r="I949"/>
      <c r="J949"/>
      <c r="K949"/>
      <c r="L949"/>
      <c r="M949" s="18" t="s">
        <v>313</v>
      </c>
      <c r="N949" t="s">
        <v>1295</v>
      </c>
      <c r="O949" t="s">
        <v>1395</v>
      </c>
      <c r="P949" s="1" t="s">
        <v>512</v>
      </c>
      <c r="Q949" s="13" t="s">
        <v>1018</v>
      </c>
      <c r="R949">
        <v>1</v>
      </c>
      <c r="S949">
        <v>32000</v>
      </c>
      <c r="T949"/>
      <c r="U949" s="9"/>
      <c r="V949" s="9"/>
      <c r="W949" s="9"/>
      <c r="X949" s="9"/>
    </row>
    <row r="950" spans="1:24">
      <c r="A950" s="13" t="s">
        <v>19</v>
      </c>
      <c r="B950" s="1"/>
      <c r="C950" s="1" t="s">
        <v>26</v>
      </c>
      <c r="D950" s="3">
        <v>74000</v>
      </c>
      <c r="E950"/>
      <c r="F950"/>
      <c r="G950"/>
      <c r="H950"/>
      <c r="I950"/>
      <c r="J950"/>
      <c r="K950"/>
      <c r="L950"/>
      <c r="M950" s="18" t="s">
        <v>313</v>
      </c>
      <c r="N950" t="s">
        <v>1295</v>
      </c>
      <c r="O950" t="s">
        <v>1395</v>
      </c>
      <c r="P950" s="1" t="s">
        <v>809</v>
      </c>
      <c r="Q950" s="13" t="s">
        <v>1018</v>
      </c>
      <c r="R950">
        <v>2</v>
      </c>
      <c r="S950">
        <v>37000</v>
      </c>
      <c r="T950"/>
      <c r="U950" s="9"/>
      <c r="V950" s="9"/>
      <c r="W950" s="9"/>
      <c r="X950" s="9"/>
    </row>
    <row r="951" spans="1:24">
      <c r="A951" s="13" t="s">
        <v>19</v>
      </c>
      <c r="B951" s="1"/>
      <c r="C951" s="1" t="s">
        <v>26</v>
      </c>
      <c r="D951" s="3">
        <v>74000</v>
      </c>
      <c r="E951"/>
      <c r="F951"/>
      <c r="G951"/>
      <c r="H951"/>
      <c r="I951"/>
      <c r="J951"/>
      <c r="K951"/>
      <c r="L951"/>
      <c r="M951" s="18" t="s">
        <v>313</v>
      </c>
      <c r="N951" t="s">
        <v>1295</v>
      </c>
      <c r="O951" t="s">
        <v>1395</v>
      </c>
      <c r="P951" s="1" t="s">
        <v>810</v>
      </c>
      <c r="Q951" s="13" t="s">
        <v>1018</v>
      </c>
      <c r="R951">
        <v>2</v>
      </c>
      <c r="S951">
        <v>37000</v>
      </c>
      <c r="T951"/>
      <c r="U951" s="9"/>
      <c r="V951" s="9"/>
      <c r="W951" s="9"/>
      <c r="X951" s="9"/>
    </row>
    <row r="952" spans="1:24">
      <c r="A952" s="13" t="s">
        <v>19</v>
      </c>
      <c r="B952" s="1"/>
      <c r="C952" s="1" t="s">
        <v>29</v>
      </c>
      <c r="D952" s="3">
        <v>10000</v>
      </c>
      <c r="E952"/>
      <c r="F952"/>
      <c r="G952"/>
      <c r="H952"/>
      <c r="I952"/>
      <c r="J952"/>
      <c r="K952"/>
      <c r="L952"/>
      <c r="M952" s="18" t="s">
        <v>313</v>
      </c>
      <c r="N952" t="s">
        <v>1295</v>
      </c>
      <c r="O952" t="s">
        <v>1395</v>
      </c>
      <c r="P952" s="1" t="s">
        <v>30</v>
      </c>
      <c r="Q952" s="13" t="s">
        <v>1018</v>
      </c>
      <c r="R952">
        <v>2</v>
      </c>
      <c r="S952">
        <v>5000</v>
      </c>
      <c r="T952"/>
      <c r="U952" s="9"/>
      <c r="V952" s="9"/>
      <c r="W952" s="9"/>
      <c r="X952" s="9"/>
    </row>
    <row r="953" spans="1:24">
      <c r="A953" s="13" t="s">
        <v>19</v>
      </c>
      <c r="B953" s="1"/>
      <c r="C953" s="1" t="s">
        <v>29</v>
      </c>
      <c r="D953" s="3">
        <v>20000</v>
      </c>
      <c r="E953"/>
      <c r="F953"/>
      <c r="G953"/>
      <c r="H953"/>
      <c r="I953"/>
      <c r="J953"/>
      <c r="K953"/>
      <c r="L953"/>
      <c r="M953" s="18" t="s">
        <v>313</v>
      </c>
      <c r="N953" t="s">
        <v>1295</v>
      </c>
      <c r="O953" t="s">
        <v>1395</v>
      </c>
      <c r="P953" s="1" t="s">
        <v>30</v>
      </c>
      <c r="Q953" s="13" t="s">
        <v>1018</v>
      </c>
      <c r="R953">
        <v>4</v>
      </c>
      <c r="S953">
        <v>5000</v>
      </c>
      <c r="T953"/>
      <c r="U953" s="9"/>
      <c r="V953" s="9"/>
      <c r="W953" s="9"/>
      <c r="X953" s="9"/>
    </row>
    <row r="954" spans="1:24">
      <c r="A954" s="13" t="s">
        <v>19</v>
      </c>
      <c r="B954" s="1"/>
      <c r="C954" s="1" t="s">
        <v>29</v>
      </c>
      <c r="D954" s="3">
        <v>20000</v>
      </c>
      <c r="E954"/>
      <c r="F954"/>
      <c r="G954"/>
      <c r="H954"/>
      <c r="I954"/>
      <c r="J954"/>
      <c r="K954"/>
      <c r="L954"/>
      <c r="M954" s="18" t="s">
        <v>313</v>
      </c>
      <c r="N954" t="s">
        <v>1295</v>
      </c>
      <c r="O954" t="s">
        <v>1395</v>
      </c>
      <c r="P954" s="1" t="s">
        <v>30</v>
      </c>
      <c r="Q954" s="13" t="s">
        <v>1018</v>
      </c>
      <c r="R954">
        <v>4</v>
      </c>
      <c r="S954">
        <v>5000</v>
      </c>
      <c r="T954"/>
      <c r="U954" s="9"/>
      <c r="V954" s="9"/>
      <c r="W954" s="9"/>
      <c r="X954" s="9"/>
    </row>
    <row r="955" spans="1:24">
      <c r="A955" s="13" t="s">
        <v>19</v>
      </c>
      <c r="B955" s="1"/>
      <c r="C955" s="1" t="s">
        <v>29</v>
      </c>
      <c r="D955" s="3">
        <v>20000</v>
      </c>
      <c r="E955"/>
      <c r="F955"/>
      <c r="G955"/>
      <c r="H955"/>
      <c r="I955"/>
      <c r="J955"/>
      <c r="K955"/>
      <c r="L955"/>
      <c r="M955" s="18" t="s">
        <v>313</v>
      </c>
      <c r="N955" t="s">
        <v>1295</v>
      </c>
      <c r="O955" t="s">
        <v>1395</v>
      </c>
      <c r="P955" s="1" t="s">
        <v>811</v>
      </c>
      <c r="Q955" s="13" t="s">
        <v>1018</v>
      </c>
      <c r="R955">
        <v>4</v>
      </c>
      <c r="S955">
        <v>5000</v>
      </c>
      <c r="T955"/>
      <c r="U955" s="9"/>
      <c r="V955" s="9"/>
      <c r="W955" s="9"/>
      <c r="X955" s="9"/>
    </row>
    <row r="956" spans="1:24">
      <c r="A956" s="13" t="s">
        <v>19</v>
      </c>
      <c r="B956" s="1"/>
      <c r="C956" s="1" t="s">
        <v>32</v>
      </c>
      <c r="D956" s="3">
        <v>5000</v>
      </c>
      <c r="E956"/>
      <c r="F956"/>
      <c r="G956"/>
      <c r="H956"/>
      <c r="I956"/>
      <c r="J956"/>
      <c r="K956"/>
      <c r="L956"/>
      <c r="M956" s="18" t="s">
        <v>313</v>
      </c>
      <c r="N956" t="s">
        <v>1295</v>
      </c>
      <c r="O956" t="s">
        <v>1395</v>
      </c>
      <c r="P956" s="1" t="s">
        <v>515</v>
      </c>
      <c r="Q956" s="13" t="s">
        <v>1018</v>
      </c>
      <c r="R956">
        <v>1</v>
      </c>
      <c r="S956">
        <v>5000</v>
      </c>
      <c r="T956"/>
      <c r="U956" s="9"/>
      <c r="V956" s="9"/>
      <c r="W956" s="9"/>
      <c r="X956" s="9"/>
    </row>
    <row r="957" spans="1:24">
      <c r="A957" s="13" t="s">
        <v>19</v>
      </c>
      <c r="B957" s="1"/>
      <c r="C957" s="1" t="s">
        <v>32</v>
      </c>
      <c r="D957" s="3">
        <v>10000</v>
      </c>
      <c r="E957"/>
      <c r="F957"/>
      <c r="G957"/>
      <c r="H957"/>
      <c r="I957"/>
      <c r="J957"/>
      <c r="K957"/>
      <c r="L957"/>
      <c r="M957" s="18" t="s">
        <v>313</v>
      </c>
      <c r="N957" t="s">
        <v>1295</v>
      </c>
      <c r="O957" t="s">
        <v>1395</v>
      </c>
      <c r="P957" s="1" t="s">
        <v>812</v>
      </c>
      <c r="Q957" s="13" t="s">
        <v>1018</v>
      </c>
      <c r="R957">
        <v>2</v>
      </c>
      <c r="S957">
        <v>5000</v>
      </c>
      <c r="T957"/>
      <c r="U957" s="9"/>
      <c r="V957" s="9"/>
      <c r="W957" s="9"/>
      <c r="X957" s="9"/>
    </row>
    <row r="958" spans="1:24">
      <c r="A958" s="13" t="s">
        <v>19</v>
      </c>
      <c r="B958" s="1"/>
      <c r="C958" s="1" t="s">
        <v>32</v>
      </c>
      <c r="D958" s="3">
        <v>10000</v>
      </c>
      <c r="E958"/>
      <c r="F958"/>
      <c r="G958"/>
      <c r="H958"/>
      <c r="I958"/>
      <c r="J958"/>
      <c r="K958"/>
      <c r="L958"/>
      <c r="M958" s="18" t="s">
        <v>313</v>
      </c>
      <c r="N958" t="s">
        <v>1295</v>
      </c>
      <c r="O958" t="s">
        <v>1395</v>
      </c>
      <c r="P958" s="1" t="s">
        <v>813</v>
      </c>
      <c r="Q958" s="13" t="s">
        <v>1018</v>
      </c>
      <c r="R958">
        <v>2</v>
      </c>
      <c r="S958">
        <v>5000</v>
      </c>
      <c r="T958"/>
      <c r="U958" s="9"/>
      <c r="V958" s="9"/>
      <c r="W958" s="9"/>
      <c r="X958" s="9"/>
    </row>
    <row r="959" spans="1:24">
      <c r="A959" s="13"/>
      <c r="B959" s="1"/>
      <c r="C959" s="1"/>
      <c r="D959" s="3" t="str">
        <f>SUBTOTAL(9,D945:D958)</f>
        <v>0</v>
      </c>
      <c r="E959"/>
      <c r="F959"/>
      <c r="G959"/>
      <c r="H959"/>
      <c r="I959"/>
      <c r="J959"/>
      <c r="K959"/>
      <c r="L959"/>
      <c r="M959" s="18" t="s">
        <v>314</v>
      </c>
      <c r="N959" t="s">
        <v>1502</v>
      </c>
      <c r="O959" t="s">
        <v>1395</v>
      </c>
      <c r="P959" s="1"/>
      <c r="Q959" s="13"/>
      <c r="R959"/>
      <c r="S959"/>
      <c r="T959"/>
      <c r="U959" s="9"/>
      <c r="V959" s="9"/>
      <c r="W959" s="9"/>
      <c r="X959" s="9"/>
    </row>
    <row r="960" spans="1:24">
      <c r="A960" s="13" t="s">
        <v>19</v>
      </c>
      <c r="B960" s="1"/>
      <c r="C960" s="1" t="s">
        <v>20</v>
      </c>
      <c r="D960" s="3">
        <v>60000</v>
      </c>
      <c r="E960"/>
      <c r="F960"/>
      <c r="G960"/>
      <c r="H960"/>
      <c r="I960"/>
      <c r="J960"/>
      <c r="K960"/>
      <c r="L960"/>
      <c r="M960" s="18" t="s">
        <v>315</v>
      </c>
      <c r="N960" t="s">
        <v>1301</v>
      </c>
      <c r="O960" t="s">
        <v>1395</v>
      </c>
      <c r="P960" s="1" t="s">
        <v>24</v>
      </c>
      <c r="Q960" s="13" t="s">
        <v>25</v>
      </c>
      <c r="R960">
        <v>2</v>
      </c>
      <c r="S960">
        <v>30000</v>
      </c>
      <c r="T960"/>
      <c r="U960" s="9"/>
      <c r="V960" s="9"/>
      <c r="W960" s="9"/>
      <c r="X960" s="9"/>
    </row>
    <row r="961" spans="1:24">
      <c r="A961" s="13" t="s">
        <v>19</v>
      </c>
      <c r="B961" s="1"/>
      <c r="C961" s="1" t="s">
        <v>29</v>
      </c>
      <c r="D961" s="3">
        <v>14000</v>
      </c>
      <c r="E961"/>
      <c r="F961"/>
      <c r="G961"/>
      <c r="H961"/>
      <c r="I961"/>
      <c r="J961"/>
      <c r="K961"/>
      <c r="L961"/>
      <c r="M961" s="18" t="s">
        <v>315</v>
      </c>
      <c r="N961" t="s">
        <v>1301</v>
      </c>
      <c r="O961" t="s">
        <v>1395</v>
      </c>
      <c r="P961" s="1" t="s">
        <v>30</v>
      </c>
      <c r="Q961" s="13" t="s">
        <v>25</v>
      </c>
      <c r="R961">
        <v>2</v>
      </c>
      <c r="S961">
        <v>7000</v>
      </c>
      <c r="T961"/>
      <c r="U961" s="9"/>
      <c r="V961" s="9"/>
      <c r="W961" s="9"/>
      <c r="X961" s="9"/>
    </row>
    <row r="962" spans="1:24">
      <c r="A962" s="13"/>
      <c r="B962" s="1"/>
      <c r="C962" s="1"/>
      <c r="D962" s="3" t="str">
        <f>SUBTOTAL(9,D960:D961)</f>
        <v>0</v>
      </c>
      <c r="E962"/>
      <c r="F962"/>
      <c r="G962"/>
      <c r="H962"/>
      <c r="I962"/>
      <c r="J962"/>
      <c r="K962"/>
      <c r="L962"/>
      <c r="M962" s="18" t="s">
        <v>316</v>
      </c>
      <c r="N962" t="s">
        <v>1503</v>
      </c>
      <c r="O962" t="s">
        <v>1395</v>
      </c>
      <c r="P962" s="1"/>
      <c r="Q962" s="13"/>
      <c r="R962"/>
      <c r="S962"/>
      <c r="T962"/>
      <c r="U962" s="9"/>
      <c r="V962" s="9"/>
      <c r="W962" s="9"/>
      <c r="X962" s="9"/>
    </row>
    <row r="963" spans="1:24">
      <c r="A963" s="13" t="s">
        <v>19</v>
      </c>
      <c r="B963" s="1"/>
      <c r="C963" s="1" t="s">
        <v>20</v>
      </c>
      <c r="D963" s="3">
        <v>60000</v>
      </c>
      <c r="E963"/>
      <c r="F963"/>
      <c r="G963"/>
      <c r="H963"/>
      <c r="I963"/>
      <c r="J963"/>
      <c r="K963"/>
      <c r="L963"/>
      <c r="M963" s="18" t="s">
        <v>317</v>
      </c>
      <c r="N963" t="s">
        <v>1302</v>
      </c>
      <c r="O963" t="s">
        <v>1395</v>
      </c>
      <c r="P963" s="1" t="s">
        <v>540</v>
      </c>
      <c r="Q963" s="13" t="s">
        <v>25</v>
      </c>
      <c r="R963">
        <v>2</v>
      </c>
      <c r="S963">
        <v>30000</v>
      </c>
      <c r="T963"/>
      <c r="U963" s="9"/>
      <c r="V963" s="9"/>
      <c r="W963" s="9"/>
      <c r="X963" s="9"/>
    </row>
    <row r="964" spans="1:24">
      <c r="A964" s="13" t="s">
        <v>19</v>
      </c>
      <c r="B964" s="1"/>
      <c r="C964" s="1" t="s">
        <v>29</v>
      </c>
      <c r="D964" s="3">
        <v>14000</v>
      </c>
      <c r="E964"/>
      <c r="F964"/>
      <c r="G964"/>
      <c r="H964"/>
      <c r="I964"/>
      <c r="J964"/>
      <c r="K964"/>
      <c r="L964"/>
      <c r="M964" s="18" t="s">
        <v>317</v>
      </c>
      <c r="N964" t="s">
        <v>1302</v>
      </c>
      <c r="O964" t="s">
        <v>1395</v>
      </c>
      <c r="P964" s="1" t="s">
        <v>541</v>
      </c>
      <c r="Q964" s="13" t="s">
        <v>25</v>
      </c>
      <c r="R964">
        <v>2</v>
      </c>
      <c r="S964">
        <v>7000</v>
      </c>
      <c r="T964"/>
      <c r="U964" s="9"/>
      <c r="V964" s="9"/>
      <c r="W964" s="9"/>
      <c r="X964" s="9"/>
    </row>
    <row r="965" spans="1:24">
      <c r="A965" s="13"/>
      <c r="B965" s="1"/>
      <c r="C965" s="1"/>
      <c r="D965" s="3" t="str">
        <f>SUBTOTAL(9,D963:D964)</f>
        <v>0</v>
      </c>
      <c r="E965"/>
      <c r="F965"/>
      <c r="G965"/>
      <c r="H965"/>
      <c r="I965"/>
      <c r="J965"/>
      <c r="K965"/>
      <c r="L965"/>
      <c r="M965" s="18" t="s">
        <v>318</v>
      </c>
      <c r="N965" t="s">
        <v>1504</v>
      </c>
      <c r="O965" t="s">
        <v>1395</v>
      </c>
      <c r="P965" s="1"/>
      <c r="Q965" s="13"/>
      <c r="R965"/>
      <c r="S965"/>
      <c r="T965"/>
      <c r="U965" s="9"/>
      <c r="V965" s="9"/>
      <c r="W965" s="9"/>
      <c r="X965" s="9"/>
    </row>
    <row r="966" spans="1:24">
      <c r="A966" s="13" t="s">
        <v>19</v>
      </c>
      <c r="B966" s="1"/>
      <c r="C966" s="1" t="s">
        <v>20</v>
      </c>
      <c r="D966" s="3">
        <v>64000</v>
      </c>
      <c r="E966"/>
      <c r="F966"/>
      <c r="G966"/>
      <c r="H966"/>
      <c r="I966"/>
      <c r="J966"/>
      <c r="K966"/>
      <c r="L966"/>
      <c r="M966" s="18" t="s">
        <v>319</v>
      </c>
      <c r="N966" t="s">
        <v>1328</v>
      </c>
      <c r="O966" t="s">
        <v>23</v>
      </c>
      <c r="P966" s="1" t="s">
        <v>24</v>
      </c>
      <c r="Q966" s="13" t="s">
        <v>25</v>
      </c>
      <c r="R966">
        <v>2</v>
      </c>
      <c r="S966">
        <v>32000</v>
      </c>
      <c r="T966"/>
      <c r="U966" s="9"/>
      <c r="V966" s="9"/>
      <c r="W966" s="9"/>
      <c r="X966" s="9"/>
    </row>
    <row r="967" spans="1:24">
      <c r="A967" s="13" t="s">
        <v>19</v>
      </c>
      <c r="B967" s="1"/>
      <c r="C967" s="1" t="s">
        <v>20</v>
      </c>
      <c r="D967" s="3">
        <v>32000</v>
      </c>
      <c r="E967"/>
      <c r="F967"/>
      <c r="G967"/>
      <c r="H967"/>
      <c r="I967"/>
      <c r="J967"/>
      <c r="K967"/>
      <c r="L967"/>
      <c r="M967" s="18" t="s">
        <v>319</v>
      </c>
      <c r="N967" t="s">
        <v>1328</v>
      </c>
      <c r="O967" t="s">
        <v>23</v>
      </c>
      <c r="P967" s="1" t="s">
        <v>814</v>
      </c>
      <c r="Q967" s="13" t="s">
        <v>25</v>
      </c>
      <c r="R967">
        <v>1</v>
      </c>
      <c r="S967">
        <v>32000</v>
      </c>
      <c r="T967"/>
      <c r="U967" s="9"/>
      <c r="V967" s="9"/>
      <c r="W967" s="9"/>
      <c r="X967" s="9"/>
    </row>
    <row r="968" spans="1:24">
      <c r="A968" s="13" t="s">
        <v>19</v>
      </c>
      <c r="B968" s="1"/>
      <c r="C968" s="1" t="s">
        <v>20</v>
      </c>
      <c r="D968" s="3">
        <v>32000</v>
      </c>
      <c r="E968"/>
      <c r="F968"/>
      <c r="G968"/>
      <c r="H968"/>
      <c r="I968"/>
      <c r="J968"/>
      <c r="K968"/>
      <c r="L968"/>
      <c r="M968" s="18" t="s">
        <v>319</v>
      </c>
      <c r="N968" t="s">
        <v>1328</v>
      </c>
      <c r="O968" t="s">
        <v>23</v>
      </c>
      <c r="P968" s="1" t="s">
        <v>24</v>
      </c>
      <c r="Q968" s="13" t="s">
        <v>25</v>
      </c>
      <c r="R968">
        <v>1</v>
      </c>
      <c r="S968">
        <v>32000</v>
      </c>
      <c r="T968"/>
      <c r="U968" s="9"/>
      <c r="V968" s="9"/>
      <c r="W968" s="9"/>
      <c r="X968" s="9"/>
    </row>
    <row r="969" spans="1:24">
      <c r="A969" s="13" t="s">
        <v>19</v>
      </c>
      <c r="B969" s="1"/>
      <c r="C969" s="1" t="s">
        <v>26</v>
      </c>
      <c r="D969" s="3">
        <v>74000</v>
      </c>
      <c r="E969"/>
      <c r="F969"/>
      <c r="G969"/>
      <c r="H969"/>
      <c r="I969"/>
      <c r="J969"/>
      <c r="K969"/>
      <c r="L969"/>
      <c r="M969" s="18" t="s">
        <v>319</v>
      </c>
      <c r="N969" t="s">
        <v>1328</v>
      </c>
      <c r="O969" t="s">
        <v>23</v>
      </c>
      <c r="P969" s="1" t="s">
        <v>27</v>
      </c>
      <c r="Q969" s="13" t="s">
        <v>25</v>
      </c>
      <c r="R969">
        <v>2</v>
      </c>
      <c r="S969">
        <v>37000</v>
      </c>
      <c r="T969"/>
      <c r="U969" s="9"/>
      <c r="V969" s="9"/>
      <c r="W969" s="9"/>
      <c r="X969" s="9"/>
    </row>
    <row r="970" spans="1:24">
      <c r="A970" s="13" t="s">
        <v>19</v>
      </c>
      <c r="B970" s="1"/>
      <c r="C970" s="1" t="s">
        <v>29</v>
      </c>
      <c r="D970" s="3">
        <v>10000</v>
      </c>
      <c r="E970"/>
      <c r="F970"/>
      <c r="G970"/>
      <c r="H970"/>
      <c r="I970"/>
      <c r="J970"/>
      <c r="K970"/>
      <c r="L970"/>
      <c r="M970" s="18" t="s">
        <v>319</v>
      </c>
      <c r="N970" t="s">
        <v>1328</v>
      </c>
      <c r="O970" t="s">
        <v>23</v>
      </c>
      <c r="P970" s="1" t="s">
        <v>30</v>
      </c>
      <c r="Q970" s="13" t="s">
        <v>25</v>
      </c>
      <c r="R970">
        <v>2</v>
      </c>
      <c r="S970">
        <v>5000</v>
      </c>
      <c r="T970"/>
      <c r="U970" s="9"/>
      <c r="V970" s="9"/>
      <c r="W970" s="9"/>
      <c r="X970" s="9"/>
    </row>
    <row r="971" spans="1:24">
      <c r="A971" s="13" t="s">
        <v>19</v>
      </c>
      <c r="B971" s="1"/>
      <c r="C971" s="1" t="s">
        <v>29</v>
      </c>
      <c r="D971" s="3">
        <v>5000</v>
      </c>
      <c r="E971"/>
      <c r="F971"/>
      <c r="G971"/>
      <c r="H971"/>
      <c r="I971"/>
      <c r="J971"/>
      <c r="K971"/>
      <c r="L971"/>
      <c r="M971" s="18" t="s">
        <v>319</v>
      </c>
      <c r="N971" t="s">
        <v>1328</v>
      </c>
      <c r="O971" t="s">
        <v>23</v>
      </c>
      <c r="P971" s="1" t="s">
        <v>815</v>
      </c>
      <c r="Q971" s="13" t="s">
        <v>25</v>
      </c>
      <c r="R971">
        <v>1</v>
      </c>
      <c r="S971">
        <v>5000</v>
      </c>
      <c r="T971"/>
      <c r="U971" s="9"/>
      <c r="V971" s="9"/>
      <c r="W971" s="9"/>
      <c r="X971" s="9"/>
    </row>
    <row r="972" spans="1:24">
      <c r="A972" s="13" t="s">
        <v>19</v>
      </c>
      <c r="B972" s="1"/>
      <c r="C972" s="1" t="s">
        <v>29</v>
      </c>
      <c r="D972" s="3">
        <v>5000</v>
      </c>
      <c r="E972"/>
      <c r="F972"/>
      <c r="G972"/>
      <c r="H972"/>
      <c r="I972"/>
      <c r="J972"/>
      <c r="K972"/>
      <c r="L972"/>
      <c r="M972" s="18" t="s">
        <v>319</v>
      </c>
      <c r="N972" t="s">
        <v>1328</v>
      </c>
      <c r="O972" t="s">
        <v>23</v>
      </c>
      <c r="P972" s="1" t="s">
        <v>30</v>
      </c>
      <c r="Q972" s="13" t="s">
        <v>25</v>
      </c>
      <c r="R972">
        <v>1</v>
      </c>
      <c r="S972">
        <v>5000</v>
      </c>
      <c r="T972"/>
      <c r="U972" s="9"/>
      <c r="V972" s="9"/>
      <c r="W972" s="9"/>
      <c r="X972" s="9"/>
    </row>
    <row r="973" spans="1:24">
      <c r="A973" s="13" t="s">
        <v>19</v>
      </c>
      <c r="B973" s="1"/>
      <c r="C973" s="1" t="s">
        <v>32</v>
      </c>
      <c r="D973" s="3">
        <v>10000</v>
      </c>
      <c r="E973"/>
      <c r="F973"/>
      <c r="G973"/>
      <c r="H973"/>
      <c r="I973"/>
      <c r="J973"/>
      <c r="K973"/>
      <c r="L973"/>
      <c r="M973" s="18" t="s">
        <v>319</v>
      </c>
      <c r="N973" t="s">
        <v>1328</v>
      </c>
      <c r="O973" t="s">
        <v>23</v>
      </c>
      <c r="P973" s="1" t="s">
        <v>33</v>
      </c>
      <c r="Q973" s="13" t="s">
        <v>25</v>
      </c>
      <c r="R973">
        <v>2</v>
      </c>
      <c r="S973">
        <v>5000</v>
      </c>
      <c r="T973"/>
      <c r="U973" s="9"/>
      <c r="V973" s="9"/>
      <c r="W973" s="9"/>
      <c r="X973" s="9"/>
    </row>
    <row r="974" spans="1:24">
      <c r="A974" s="13"/>
      <c r="B974" s="1"/>
      <c r="C974" s="1"/>
      <c r="D974" s="3" t="str">
        <f>SUBTOTAL(9,D966:D973)</f>
        <v>0</v>
      </c>
      <c r="E974"/>
      <c r="F974"/>
      <c r="G974"/>
      <c r="H974"/>
      <c r="I974"/>
      <c r="J974"/>
      <c r="K974"/>
      <c r="L974"/>
      <c r="M974" s="18" t="s">
        <v>320</v>
      </c>
      <c r="N974" t="s">
        <v>1505</v>
      </c>
      <c r="O974" t="s">
        <v>23</v>
      </c>
      <c r="P974" s="1"/>
      <c r="Q974" s="13"/>
      <c r="R974"/>
      <c r="S974"/>
      <c r="T974"/>
      <c r="U974" s="9"/>
      <c r="V974" s="9"/>
      <c r="W974" s="9"/>
      <c r="X974" s="9"/>
    </row>
    <row r="975" spans="1:24">
      <c r="A975" s="13" t="s">
        <v>19</v>
      </c>
      <c r="B975" s="1"/>
      <c r="C975" s="1" t="s">
        <v>20</v>
      </c>
      <c r="D975" s="3">
        <v>80000</v>
      </c>
      <c r="E975"/>
      <c r="F975"/>
      <c r="G975"/>
      <c r="H975"/>
      <c r="I975"/>
      <c r="J975"/>
      <c r="K975"/>
      <c r="L975"/>
      <c r="M975" s="18" t="s">
        <v>321</v>
      </c>
      <c r="N975" t="s">
        <v>1329</v>
      </c>
      <c r="O975" t="s">
        <v>94</v>
      </c>
      <c r="P975" s="1" t="s">
        <v>24</v>
      </c>
      <c r="Q975" s="13" t="s">
        <v>25</v>
      </c>
      <c r="R975">
        <v>4</v>
      </c>
      <c r="S975">
        <v>20000</v>
      </c>
      <c r="T975"/>
      <c r="U975" s="9"/>
      <c r="V975" s="9"/>
      <c r="W975" s="9"/>
      <c r="X975" s="9"/>
    </row>
    <row r="976" spans="1:24">
      <c r="A976" s="13" t="s">
        <v>19</v>
      </c>
      <c r="B976" s="1"/>
      <c r="C976" s="1" t="s">
        <v>20</v>
      </c>
      <c r="D976" s="3">
        <v>80000</v>
      </c>
      <c r="E976"/>
      <c r="F976"/>
      <c r="G976"/>
      <c r="H976"/>
      <c r="I976"/>
      <c r="J976"/>
      <c r="K976"/>
      <c r="L976"/>
      <c r="M976" s="18" t="s">
        <v>321</v>
      </c>
      <c r="N976" t="s">
        <v>1329</v>
      </c>
      <c r="O976" t="s">
        <v>94</v>
      </c>
      <c r="P976" s="1" t="s">
        <v>24</v>
      </c>
      <c r="Q976" s="13" t="s">
        <v>25</v>
      </c>
      <c r="R976">
        <v>4</v>
      </c>
      <c r="S976">
        <v>20000</v>
      </c>
      <c r="T976"/>
      <c r="U976" s="9"/>
      <c r="V976" s="9"/>
      <c r="W976" s="9"/>
      <c r="X976" s="9"/>
    </row>
    <row r="977" spans="1:24">
      <c r="A977" s="13" t="s">
        <v>19</v>
      </c>
      <c r="B977" s="1"/>
      <c r="C977" s="1" t="s">
        <v>29</v>
      </c>
      <c r="D977" s="3">
        <v>20000</v>
      </c>
      <c r="E977"/>
      <c r="F977"/>
      <c r="G977"/>
      <c r="H977"/>
      <c r="I977"/>
      <c r="J977"/>
      <c r="K977"/>
      <c r="L977"/>
      <c r="M977" s="18" t="s">
        <v>321</v>
      </c>
      <c r="N977" t="s">
        <v>1329</v>
      </c>
      <c r="O977" t="s">
        <v>94</v>
      </c>
      <c r="P977" s="1" t="s">
        <v>30</v>
      </c>
      <c r="Q977" s="13" t="s">
        <v>25</v>
      </c>
      <c r="R977">
        <v>4</v>
      </c>
      <c r="S977">
        <v>5000</v>
      </c>
      <c r="T977"/>
      <c r="U977" s="9"/>
      <c r="V977" s="9"/>
      <c r="W977" s="9"/>
      <c r="X977" s="9"/>
    </row>
    <row r="978" spans="1:24">
      <c r="A978" s="13" t="s">
        <v>19</v>
      </c>
      <c r="B978" s="1"/>
      <c r="C978" s="1" t="s">
        <v>29</v>
      </c>
      <c r="D978" s="3">
        <v>20000</v>
      </c>
      <c r="E978"/>
      <c r="F978"/>
      <c r="G978"/>
      <c r="H978"/>
      <c r="I978"/>
      <c r="J978"/>
      <c r="K978"/>
      <c r="L978"/>
      <c r="M978" s="18" t="s">
        <v>321</v>
      </c>
      <c r="N978" t="s">
        <v>1329</v>
      </c>
      <c r="O978" t="s">
        <v>94</v>
      </c>
      <c r="P978" s="1" t="s">
        <v>30</v>
      </c>
      <c r="Q978" s="13" t="s">
        <v>25</v>
      </c>
      <c r="R978">
        <v>4</v>
      </c>
      <c r="S978">
        <v>5000</v>
      </c>
      <c r="T978"/>
      <c r="U978" s="9"/>
      <c r="V978" s="9"/>
      <c r="W978" s="9"/>
      <c r="X978" s="9"/>
    </row>
    <row r="979" spans="1:24">
      <c r="A979" s="13"/>
      <c r="B979" s="1"/>
      <c r="C979" s="1"/>
      <c r="D979" s="3" t="str">
        <f>SUBTOTAL(9,D975:D978)</f>
        <v>0</v>
      </c>
      <c r="E979"/>
      <c r="F979"/>
      <c r="G979"/>
      <c r="H979"/>
      <c r="I979"/>
      <c r="J979"/>
      <c r="K979"/>
      <c r="L979"/>
      <c r="M979" s="18" t="s">
        <v>322</v>
      </c>
      <c r="N979" t="s">
        <v>1506</v>
      </c>
      <c r="O979" t="s">
        <v>94</v>
      </c>
      <c r="P979" s="1"/>
      <c r="Q979" s="13"/>
      <c r="R979"/>
      <c r="S979"/>
      <c r="T979"/>
      <c r="U979" s="9"/>
      <c r="V979" s="9"/>
      <c r="W979" s="9"/>
      <c r="X979" s="9"/>
    </row>
    <row r="980" spans="1:24">
      <c r="A980" s="13" t="s">
        <v>19</v>
      </c>
      <c r="B980" s="1"/>
      <c r="C980" s="1" t="s">
        <v>20</v>
      </c>
      <c r="D980" s="3">
        <v>64000</v>
      </c>
      <c r="E980"/>
      <c r="F980"/>
      <c r="G980"/>
      <c r="H980"/>
      <c r="I980"/>
      <c r="J980"/>
      <c r="K980"/>
      <c r="L980"/>
      <c r="M980" s="18" t="s">
        <v>323</v>
      </c>
      <c r="N980" t="s">
        <v>1337</v>
      </c>
      <c r="O980" t="s">
        <v>94</v>
      </c>
      <c r="P980" s="1" t="s">
        <v>24</v>
      </c>
      <c r="Q980" s="13" t="s">
        <v>25</v>
      </c>
      <c r="R980">
        <v>2</v>
      </c>
      <c r="S980">
        <v>32000</v>
      </c>
      <c r="T980"/>
      <c r="U980" s="9"/>
      <c r="V980" s="9"/>
      <c r="W980" s="9"/>
      <c r="X980" s="9"/>
    </row>
    <row r="981" spans="1:24">
      <c r="A981" s="13" t="s">
        <v>19</v>
      </c>
      <c r="B981" s="1"/>
      <c r="C981" s="1" t="s">
        <v>20</v>
      </c>
      <c r="D981" s="3">
        <v>64000</v>
      </c>
      <c r="E981"/>
      <c r="F981"/>
      <c r="G981"/>
      <c r="H981"/>
      <c r="I981"/>
      <c r="J981"/>
      <c r="K981"/>
      <c r="L981"/>
      <c r="M981" s="18" t="s">
        <v>323</v>
      </c>
      <c r="N981" t="s">
        <v>1337</v>
      </c>
      <c r="O981" t="s">
        <v>94</v>
      </c>
      <c r="P981" s="1" t="s">
        <v>24</v>
      </c>
      <c r="Q981" s="13" t="s">
        <v>25</v>
      </c>
      <c r="R981">
        <v>2</v>
      </c>
      <c r="S981">
        <v>32000</v>
      </c>
      <c r="T981"/>
      <c r="U981" s="9"/>
      <c r="V981" s="9"/>
      <c r="W981" s="9"/>
      <c r="X981" s="9"/>
    </row>
    <row r="982" spans="1:24">
      <c r="A982" s="13" t="s">
        <v>19</v>
      </c>
      <c r="B982" s="1"/>
      <c r="C982" s="1" t="s">
        <v>20</v>
      </c>
      <c r="D982" s="3">
        <v>32000</v>
      </c>
      <c r="E982"/>
      <c r="F982"/>
      <c r="G982"/>
      <c r="H982"/>
      <c r="I982"/>
      <c r="J982"/>
      <c r="K982"/>
      <c r="L982"/>
      <c r="M982" s="18" t="s">
        <v>323</v>
      </c>
      <c r="N982" t="s">
        <v>1337</v>
      </c>
      <c r="O982" t="s">
        <v>94</v>
      </c>
      <c r="P982" s="1" t="s">
        <v>24</v>
      </c>
      <c r="Q982" s="13" t="s">
        <v>25</v>
      </c>
      <c r="R982">
        <v>1</v>
      </c>
      <c r="S982">
        <v>32000</v>
      </c>
      <c r="T982"/>
      <c r="U982" s="9"/>
      <c r="V982" s="9"/>
      <c r="W982" s="9"/>
      <c r="X982" s="9"/>
    </row>
    <row r="983" spans="1:24">
      <c r="A983" s="13" t="s">
        <v>19</v>
      </c>
      <c r="B983" s="1"/>
      <c r="C983" s="1" t="s">
        <v>20</v>
      </c>
      <c r="D983" s="3">
        <v>64000</v>
      </c>
      <c r="E983"/>
      <c r="F983"/>
      <c r="G983"/>
      <c r="H983"/>
      <c r="I983"/>
      <c r="J983"/>
      <c r="K983"/>
      <c r="L983"/>
      <c r="M983" s="18" t="s">
        <v>323</v>
      </c>
      <c r="N983" t="s">
        <v>1337</v>
      </c>
      <c r="O983" t="s">
        <v>94</v>
      </c>
      <c r="P983" s="1" t="s">
        <v>24</v>
      </c>
      <c r="Q983" s="13" t="s">
        <v>25</v>
      </c>
      <c r="R983">
        <v>2</v>
      </c>
      <c r="S983">
        <v>32000</v>
      </c>
      <c r="T983"/>
      <c r="U983" s="9"/>
      <c r="V983" s="9"/>
      <c r="W983" s="9"/>
      <c r="X983" s="9"/>
    </row>
    <row r="984" spans="1:24">
      <c r="A984" s="13" t="s">
        <v>19</v>
      </c>
      <c r="B984" s="1"/>
      <c r="C984" s="1" t="s">
        <v>29</v>
      </c>
      <c r="D984" s="3">
        <v>10000</v>
      </c>
      <c r="E984"/>
      <c r="F984"/>
      <c r="G984"/>
      <c r="H984"/>
      <c r="I984"/>
      <c r="J984"/>
      <c r="K984"/>
      <c r="L984"/>
      <c r="M984" s="18" t="s">
        <v>323</v>
      </c>
      <c r="N984" t="s">
        <v>1337</v>
      </c>
      <c r="O984" t="s">
        <v>94</v>
      </c>
      <c r="P984" s="1" t="s">
        <v>30</v>
      </c>
      <c r="Q984" s="13" t="s">
        <v>25</v>
      </c>
      <c r="R984">
        <v>2</v>
      </c>
      <c r="S984">
        <v>5000</v>
      </c>
      <c r="T984"/>
      <c r="U984" s="9"/>
      <c r="V984" s="9"/>
      <c r="W984" s="9"/>
      <c r="X984" s="9"/>
    </row>
    <row r="985" spans="1:24">
      <c r="A985" s="13" t="s">
        <v>19</v>
      </c>
      <c r="B985" s="1"/>
      <c r="C985" s="1" t="s">
        <v>29</v>
      </c>
      <c r="D985" s="3">
        <v>10000</v>
      </c>
      <c r="E985"/>
      <c r="F985"/>
      <c r="G985"/>
      <c r="H985"/>
      <c r="I985"/>
      <c r="J985"/>
      <c r="K985"/>
      <c r="L985"/>
      <c r="M985" s="18" t="s">
        <v>323</v>
      </c>
      <c r="N985" t="s">
        <v>1337</v>
      </c>
      <c r="O985" t="s">
        <v>94</v>
      </c>
      <c r="P985" s="1" t="s">
        <v>30</v>
      </c>
      <c r="Q985" s="13" t="s">
        <v>25</v>
      </c>
      <c r="R985">
        <v>2</v>
      </c>
      <c r="S985">
        <v>5000</v>
      </c>
      <c r="T985"/>
      <c r="U985" s="9"/>
      <c r="V985" s="9"/>
      <c r="W985" s="9"/>
      <c r="X985" s="9"/>
    </row>
    <row r="986" spans="1:24">
      <c r="A986" s="13" t="s">
        <v>19</v>
      </c>
      <c r="B986" s="1"/>
      <c r="C986" s="1" t="s">
        <v>29</v>
      </c>
      <c r="D986" s="3">
        <v>5000</v>
      </c>
      <c r="E986"/>
      <c r="F986"/>
      <c r="G986"/>
      <c r="H986"/>
      <c r="I986"/>
      <c r="J986"/>
      <c r="K986"/>
      <c r="L986"/>
      <c r="M986" s="18" t="s">
        <v>323</v>
      </c>
      <c r="N986" t="s">
        <v>1337</v>
      </c>
      <c r="O986" t="s">
        <v>94</v>
      </c>
      <c r="P986" s="1" t="s">
        <v>30</v>
      </c>
      <c r="Q986" s="13" t="s">
        <v>25</v>
      </c>
      <c r="R986">
        <v>1</v>
      </c>
      <c r="S986">
        <v>5000</v>
      </c>
      <c r="T986"/>
      <c r="U986" s="9"/>
      <c r="V986" s="9"/>
      <c r="W986" s="9"/>
      <c r="X986" s="9"/>
    </row>
    <row r="987" spans="1:24">
      <c r="A987" s="13" t="s">
        <v>19</v>
      </c>
      <c r="B987" s="1"/>
      <c r="C987" s="1" t="s">
        <v>29</v>
      </c>
      <c r="D987" s="3">
        <v>10000</v>
      </c>
      <c r="E987"/>
      <c r="F987"/>
      <c r="G987"/>
      <c r="H987"/>
      <c r="I987"/>
      <c r="J987"/>
      <c r="K987"/>
      <c r="L987"/>
      <c r="M987" s="18" t="s">
        <v>323</v>
      </c>
      <c r="N987" t="s">
        <v>1337</v>
      </c>
      <c r="O987" t="s">
        <v>94</v>
      </c>
      <c r="P987" s="1" t="s">
        <v>30</v>
      </c>
      <c r="Q987" s="13" t="s">
        <v>25</v>
      </c>
      <c r="R987">
        <v>2</v>
      </c>
      <c r="S987">
        <v>5000</v>
      </c>
      <c r="T987"/>
      <c r="U987" s="9"/>
      <c r="V987" s="9"/>
      <c r="W987" s="9"/>
      <c r="X987" s="9"/>
    </row>
    <row r="988" spans="1:24">
      <c r="A988" s="13"/>
      <c r="B988" s="1"/>
      <c r="C988" s="1"/>
      <c r="D988" s="3" t="str">
        <f>SUBTOTAL(9,D980:D987)</f>
        <v>0</v>
      </c>
      <c r="E988"/>
      <c r="F988"/>
      <c r="G988"/>
      <c r="H988"/>
      <c r="I988"/>
      <c r="J988"/>
      <c r="K988"/>
      <c r="L988"/>
      <c r="M988" s="18" t="s">
        <v>324</v>
      </c>
      <c r="N988" t="s">
        <v>1507</v>
      </c>
      <c r="O988" t="s">
        <v>94</v>
      </c>
      <c r="P988" s="1"/>
      <c r="Q988" s="13"/>
      <c r="R988"/>
      <c r="S988"/>
      <c r="T988"/>
      <c r="U988" s="9"/>
      <c r="V988" s="9"/>
      <c r="W988" s="9"/>
      <c r="X988" s="9"/>
    </row>
    <row r="989" spans="1:24">
      <c r="A989" s="13" t="s">
        <v>19</v>
      </c>
      <c r="B989" s="1"/>
      <c r="C989" s="1" t="s">
        <v>26</v>
      </c>
      <c r="D989" s="3">
        <v>37000</v>
      </c>
      <c r="E989"/>
      <c r="F989"/>
      <c r="G989"/>
      <c r="H989"/>
      <c r="I989"/>
      <c r="J989"/>
      <c r="K989"/>
      <c r="L989"/>
      <c r="M989" s="18" t="s">
        <v>325</v>
      </c>
      <c r="N989" t="s">
        <v>1347</v>
      </c>
      <c r="O989" t="s">
        <v>23</v>
      </c>
      <c r="P989" s="1" t="s">
        <v>574</v>
      </c>
      <c r="Q989" s="13" t="s">
        <v>1018</v>
      </c>
      <c r="R989">
        <v>1</v>
      </c>
      <c r="S989">
        <v>37000</v>
      </c>
      <c r="T989"/>
      <c r="U989" s="9"/>
      <c r="V989" s="9"/>
      <c r="W989" s="9"/>
      <c r="X989" s="9"/>
    </row>
    <row r="990" spans="1:24">
      <c r="A990" s="13" t="s">
        <v>19</v>
      </c>
      <c r="B990" s="1"/>
      <c r="C990" s="1" t="s">
        <v>26</v>
      </c>
      <c r="D990" s="3">
        <v>37000</v>
      </c>
      <c r="E990"/>
      <c r="F990"/>
      <c r="G990"/>
      <c r="H990"/>
      <c r="I990"/>
      <c r="J990"/>
      <c r="K990"/>
      <c r="L990"/>
      <c r="M990" s="18" t="s">
        <v>325</v>
      </c>
      <c r="N990" t="s">
        <v>1347</v>
      </c>
      <c r="O990" t="s">
        <v>23</v>
      </c>
      <c r="P990" s="1" t="s">
        <v>816</v>
      </c>
      <c r="Q990" s="13" t="s">
        <v>1018</v>
      </c>
      <c r="R990">
        <v>1</v>
      </c>
      <c r="S990">
        <v>37000</v>
      </c>
      <c r="T990"/>
      <c r="U990" s="9"/>
      <c r="V990" s="9"/>
      <c r="W990" s="9"/>
      <c r="X990" s="9"/>
    </row>
    <row r="991" spans="1:24">
      <c r="A991" s="13" t="s">
        <v>19</v>
      </c>
      <c r="B991" s="1"/>
      <c r="C991" s="1" t="s">
        <v>32</v>
      </c>
      <c r="D991" s="3">
        <v>5000</v>
      </c>
      <c r="E991"/>
      <c r="F991"/>
      <c r="G991"/>
      <c r="H991"/>
      <c r="I991"/>
      <c r="J991"/>
      <c r="K991"/>
      <c r="L991"/>
      <c r="M991" s="18" t="s">
        <v>325</v>
      </c>
      <c r="N991" t="s">
        <v>1347</v>
      </c>
      <c r="O991" t="s">
        <v>23</v>
      </c>
      <c r="P991" s="1" t="s">
        <v>575</v>
      </c>
      <c r="Q991" s="13" t="s">
        <v>1018</v>
      </c>
      <c r="R991">
        <v>1</v>
      </c>
      <c r="S991">
        <v>5000</v>
      </c>
      <c r="T991"/>
      <c r="U991" s="9"/>
      <c r="V991" s="9"/>
      <c r="W991" s="9"/>
      <c r="X991" s="9"/>
    </row>
    <row r="992" spans="1:24">
      <c r="A992" s="13" t="s">
        <v>19</v>
      </c>
      <c r="B992" s="1"/>
      <c r="C992" s="1" t="s">
        <v>32</v>
      </c>
      <c r="D992" s="3">
        <v>5000</v>
      </c>
      <c r="E992"/>
      <c r="F992"/>
      <c r="G992"/>
      <c r="H992"/>
      <c r="I992"/>
      <c r="J992"/>
      <c r="K992"/>
      <c r="L992"/>
      <c r="M992" s="18" t="s">
        <v>325</v>
      </c>
      <c r="N992" t="s">
        <v>1347</v>
      </c>
      <c r="O992" t="s">
        <v>23</v>
      </c>
      <c r="P992" s="1" t="s">
        <v>817</v>
      </c>
      <c r="Q992" s="13" t="s">
        <v>1018</v>
      </c>
      <c r="R992">
        <v>1</v>
      </c>
      <c r="S992">
        <v>5000</v>
      </c>
      <c r="T992"/>
      <c r="U992" s="9"/>
      <c r="V992" s="9"/>
      <c r="W992" s="9"/>
      <c r="X992" s="9"/>
    </row>
    <row r="993" spans="1:24">
      <c r="A993" s="13"/>
      <c r="B993" s="1"/>
      <c r="C993" s="1"/>
      <c r="D993" s="3" t="str">
        <f>SUBTOTAL(9,D989:D992)</f>
        <v>0</v>
      </c>
      <c r="E993"/>
      <c r="F993"/>
      <c r="G993"/>
      <c r="H993"/>
      <c r="I993"/>
      <c r="J993"/>
      <c r="K993"/>
      <c r="L993"/>
      <c r="M993" s="18" t="s">
        <v>326</v>
      </c>
      <c r="N993" t="s">
        <v>1508</v>
      </c>
      <c r="O993" t="s">
        <v>23</v>
      </c>
      <c r="P993" s="1"/>
      <c r="Q993" s="13"/>
      <c r="R993"/>
      <c r="S993"/>
      <c r="T993"/>
      <c r="U993" s="9"/>
      <c r="V993" s="9"/>
      <c r="W993" s="9"/>
      <c r="X993" s="9"/>
    </row>
    <row r="994" spans="1:24">
      <c r="A994" s="13" t="s">
        <v>19</v>
      </c>
      <c r="B994" s="1"/>
      <c r="C994" s="1" t="s">
        <v>20</v>
      </c>
      <c r="D994" s="3">
        <v>330000</v>
      </c>
      <c r="E994"/>
      <c r="F994"/>
      <c r="G994"/>
      <c r="H994"/>
      <c r="I994"/>
      <c r="J994"/>
      <c r="K994"/>
      <c r="L994"/>
      <c r="M994" s="18" t="s">
        <v>327</v>
      </c>
      <c r="N994" t="s">
        <v>1349</v>
      </c>
      <c r="O994" t="s">
        <v>96</v>
      </c>
      <c r="P994" s="1" t="s">
        <v>540</v>
      </c>
      <c r="Q994" s="13" t="s">
        <v>25</v>
      </c>
      <c r="R994">
        <v>11</v>
      </c>
      <c r="S994">
        <v>30000</v>
      </c>
      <c r="T994"/>
      <c r="U994" s="9"/>
      <c r="V994" s="9"/>
      <c r="W994" s="9"/>
      <c r="X994" s="9"/>
    </row>
    <row r="995" spans="1:24">
      <c r="A995" s="13" t="s">
        <v>19</v>
      </c>
      <c r="B995" s="1"/>
      <c r="C995" s="1" t="s">
        <v>20</v>
      </c>
      <c r="D995" s="3">
        <v>630000</v>
      </c>
      <c r="E995"/>
      <c r="F995"/>
      <c r="G995"/>
      <c r="H995"/>
      <c r="I995"/>
      <c r="J995"/>
      <c r="K995"/>
      <c r="L995"/>
      <c r="M995" s="18" t="s">
        <v>327</v>
      </c>
      <c r="N995" t="s">
        <v>1349</v>
      </c>
      <c r="O995" t="s">
        <v>96</v>
      </c>
      <c r="P995" s="1" t="s">
        <v>491</v>
      </c>
      <c r="Q995" s="13" t="s">
        <v>25</v>
      </c>
      <c r="R995">
        <v>21</v>
      </c>
      <c r="S995">
        <v>30000</v>
      </c>
      <c r="T995"/>
      <c r="U995" s="9"/>
      <c r="V995" s="9"/>
      <c r="W995" s="9"/>
      <c r="X995" s="9"/>
    </row>
    <row r="996" spans="1:24">
      <c r="A996" s="13" t="s">
        <v>19</v>
      </c>
      <c r="B996" s="1"/>
      <c r="C996" s="1" t="s">
        <v>20</v>
      </c>
      <c r="D996" s="3">
        <v>360000</v>
      </c>
      <c r="E996"/>
      <c r="F996"/>
      <c r="G996"/>
      <c r="H996"/>
      <c r="I996"/>
      <c r="J996"/>
      <c r="K996"/>
      <c r="L996"/>
      <c r="M996" s="18" t="s">
        <v>327</v>
      </c>
      <c r="N996" t="s">
        <v>1349</v>
      </c>
      <c r="O996" t="s">
        <v>96</v>
      </c>
      <c r="P996" s="1" t="s">
        <v>818</v>
      </c>
      <c r="Q996" s="13" t="s">
        <v>25</v>
      </c>
      <c r="R996">
        <v>12</v>
      </c>
      <c r="S996">
        <v>30000</v>
      </c>
      <c r="T996"/>
      <c r="U996" s="9"/>
      <c r="V996" s="9"/>
      <c r="W996" s="9"/>
      <c r="X996" s="9"/>
    </row>
    <row r="997" spans="1:24">
      <c r="A997" s="13" t="s">
        <v>19</v>
      </c>
      <c r="B997" s="1"/>
      <c r="C997" s="1" t="s">
        <v>20</v>
      </c>
      <c r="D997" s="3">
        <v>420000</v>
      </c>
      <c r="E997"/>
      <c r="F997"/>
      <c r="G997"/>
      <c r="H997"/>
      <c r="I997"/>
      <c r="J997"/>
      <c r="K997"/>
      <c r="L997"/>
      <c r="M997" s="18" t="s">
        <v>327</v>
      </c>
      <c r="N997" t="s">
        <v>1349</v>
      </c>
      <c r="O997" t="s">
        <v>96</v>
      </c>
      <c r="P997" s="1" t="s">
        <v>819</v>
      </c>
      <c r="Q997" s="13" t="s">
        <v>25</v>
      </c>
      <c r="R997">
        <v>14</v>
      </c>
      <c r="S997">
        <v>30000</v>
      </c>
      <c r="T997"/>
      <c r="U997" s="9"/>
      <c r="V997" s="9"/>
      <c r="W997" s="9"/>
      <c r="X997" s="9"/>
    </row>
    <row r="998" spans="1:24">
      <c r="A998" s="13" t="s">
        <v>19</v>
      </c>
      <c r="B998" s="1"/>
      <c r="C998" s="1" t="s">
        <v>20</v>
      </c>
      <c r="D998" s="3">
        <v>90000</v>
      </c>
      <c r="E998"/>
      <c r="F998"/>
      <c r="G998"/>
      <c r="H998"/>
      <c r="I998"/>
      <c r="J998"/>
      <c r="K998"/>
      <c r="L998"/>
      <c r="M998" s="18" t="s">
        <v>327</v>
      </c>
      <c r="N998" t="s">
        <v>1349</v>
      </c>
      <c r="O998" t="s">
        <v>96</v>
      </c>
      <c r="P998" s="1" t="s">
        <v>820</v>
      </c>
      <c r="Q998" s="13" t="s">
        <v>25</v>
      </c>
      <c r="R998">
        <v>3</v>
      </c>
      <c r="S998">
        <v>30000</v>
      </c>
      <c r="T998"/>
      <c r="U998" s="9"/>
      <c r="V998" s="9"/>
      <c r="W998" s="9"/>
      <c r="X998" s="9"/>
    </row>
    <row r="999" spans="1:24">
      <c r="A999" s="13" t="s">
        <v>19</v>
      </c>
      <c r="B999" s="1"/>
      <c r="C999" s="1" t="s">
        <v>26</v>
      </c>
      <c r="D999" s="3">
        <v>32000</v>
      </c>
      <c r="E999"/>
      <c r="F999"/>
      <c r="G999"/>
      <c r="H999"/>
      <c r="I999"/>
      <c r="J999"/>
      <c r="K999"/>
      <c r="L999"/>
      <c r="M999" s="18" t="s">
        <v>327</v>
      </c>
      <c r="N999" t="s">
        <v>1349</v>
      </c>
      <c r="O999" t="s">
        <v>96</v>
      </c>
      <c r="P999" s="1" t="s">
        <v>821</v>
      </c>
      <c r="Q999" s="13" t="s">
        <v>25</v>
      </c>
      <c r="R999">
        <v>1</v>
      </c>
      <c r="S999">
        <v>32000</v>
      </c>
      <c r="T999"/>
      <c r="U999" s="9"/>
      <c r="V999" s="9"/>
      <c r="W999" s="9"/>
      <c r="X999" s="9"/>
    </row>
    <row r="1000" spans="1:24">
      <c r="A1000" s="13" t="s">
        <v>19</v>
      </c>
      <c r="B1000" s="1"/>
      <c r="C1000" s="1" t="s">
        <v>29</v>
      </c>
      <c r="D1000" s="3">
        <v>55000</v>
      </c>
      <c r="E1000"/>
      <c r="F1000"/>
      <c r="G1000"/>
      <c r="H1000"/>
      <c r="I1000"/>
      <c r="J1000"/>
      <c r="K1000"/>
      <c r="L1000"/>
      <c r="M1000" s="18" t="s">
        <v>327</v>
      </c>
      <c r="N1000" t="s">
        <v>1349</v>
      </c>
      <c r="O1000" t="s">
        <v>96</v>
      </c>
      <c r="P1000" s="1" t="s">
        <v>541</v>
      </c>
      <c r="Q1000" s="13" t="s">
        <v>25</v>
      </c>
      <c r="R1000">
        <v>11</v>
      </c>
      <c r="S1000">
        <v>5000</v>
      </c>
      <c r="T1000"/>
      <c r="U1000" s="9"/>
      <c r="V1000" s="9"/>
      <c r="W1000" s="9"/>
      <c r="X1000" s="9"/>
    </row>
    <row r="1001" spans="1:24">
      <c r="A1001" s="13" t="s">
        <v>19</v>
      </c>
      <c r="B1001" s="1"/>
      <c r="C1001" s="1" t="s">
        <v>29</v>
      </c>
      <c r="D1001" s="3">
        <v>105000</v>
      </c>
      <c r="E1001"/>
      <c r="F1001"/>
      <c r="G1001"/>
      <c r="H1001"/>
      <c r="I1001"/>
      <c r="J1001"/>
      <c r="K1001"/>
      <c r="L1001"/>
      <c r="M1001" s="18" t="s">
        <v>327</v>
      </c>
      <c r="N1001" t="s">
        <v>1349</v>
      </c>
      <c r="O1001" t="s">
        <v>96</v>
      </c>
      <c r="P1001" s="1" t="s">
        <v>493</v>
      </c>
      <c r="Q1001" s="13" t="s">
        <v>25</v>
      </c>
      <c r="R1001">
        <v>21</v>
      </c>
      <c r="S1001">
        <v>5000</v>
      </c>
      <c r="T1001"/>
      <c r="U1001" s="9"/>
      <c r="V1001" s="9"/>
      <c r="W1001" s="9"/>
      <c r="X1001" s="9"/>
    </row>
    <row r="1002" spans="1:24">
      <c r="A1002" s="13" t="s">
        <v>19</v>
      </c>
      <c r="B1002" s="1"/>
      <c r="C1002" s="1" t="s">
        <v>29</v>
      </c>
      <c r="D1002" s="3">
        <v>60000</v>
      </c>
      <c r="E1002"/>
      <c r="F1002"/>
      <c r="G1002"/>
      <c r="H1002"/>
      <c r="I1002"/>
      <c r="J1002"/>
      <c r="K1002"/>
      <c r="L1002"/>
      <c r="M1002" s="18" t="s">
        <v>327</v>
      </c>
      <c r="N1002" t="s">
        <v>1349</v>
      </c>
      <c r="O1002" t="s">
        <v>96</v>
      </c>
      <c r="P1002" s="1" t="s">
        <v>822</v>
      </c>
      <c r="Q1002" s="13" t="s">
        <v>25</v>
      </c>
      <c r="R1002">
        <v>12</v>
      </c>
      <c r="S1002">
        <v>5000</v>
      </c>
      <c r="T1002"/>
      <c r="U1002" s="9"/>
      <c r="V1002" s="9"/>
      <c r="W1002" s="9"/>
      <c r="X1002" s="9"/>
    </row>
    <row r="1003" spans="1:24">
      <c r="A1003" s="13" t="s">
        <v>19</v>
      </c>
      <c r="B1003" s="1"/>
      <c r="C1003" s="1" t="s">
        <v>29</v>
      </c>
      <c r="D1003" s="3">
        <v>70000</v>
      </c>
      <c r="E1003"/>
      <c r="F1003"/>
      <c r="G1003"/>
      <c r="H1003"/>
      <c r="I1003"/>
      <c r="J1003"/>
      <c r="K1003"/>
      <c r="L1003"/>
      <c r="M1003" s="18" t="s">
        <v>327</v>
      </c>
      <c r="N1003" t="s">
        <v>1349</v>
      </c>
      <c r="O1003" t="s">
        <v>96</v>
      </c>
      <c r="P1003" s="1" t="s">
        <v>823</v>
      </c>
      <c r="Q1003" s="13" t="s">
        <v>25</v>
      </c>
      <c r="R1003">
        <v>14</v>
      </c>
      <c r="S1003">
        <v>5000</v>
      </c>
      <c r="T1003"/>
      <c r="U1003" s="9"/>
      <c r="V1003" s="9"/>
      <c r="W1003" s="9"/>
      <c r="X1003" s="9"/>
    </row>
    <row r="1004" spans="1:24">
      <c r="A1004" s="13" t="s">
        <v>19</v>
      </c>
      <c r="B1004" s="1"/>
      <c r="C1004" s="1" t="s">
        <v>29</v>
      </c>
      <c r="D1004" s="3">
        <v>15000</v>
      </c>
      <c r="E1004"/>
      <c r="F1004"/>
      <c r="G1004"/>
      <c r="H1004"/>
      <c r="I1004"/>
      <c r="J1004"/>
      <c r="K1004"/>
      <c r="L1004"/>
      <c r="M1004" s="18" t="s">
        <v>327</v>
      </c>
      <c r="N1004" t="s">
        <v>1349</v>
      </c>
      <c r="O1004" t="s">
        <v>96</v>
      </c>
      <c r="P1004" s="1" t="s">
        <v>824</v>
      </c>
      <c r="Q1004" s="13" t="s">
        <v>25</v>
      </c>
      <c r="R1004">
        <v>3</v>
      </c>
      <c r="S1004">
        <v>5000</v>
      </c>
      <c r="T1004"/>
      <c r="U1004" s="9"/>
      <c r="V1004" s="9"/>
      <c r="W1004" s="9"/>
      <c r="X1004" s="9"/>
    </row>
    <row r="1005" spans="1:24">
      <c r="A1005" s="13" t="s">
        <v>19</v>
      </c>
      <c r="B1005" s="1"/>
      <c r="C1005" s="1" t="s">
        <v>32</v>
      </c>
      <c r="D1005" s="3">
        <v>5000</v>
      </c>
      <c r="E1005"/>
      <c r="F1005"/>
      <c r="G1005"/>
      <c r="H1005"/>
      <c r="I1005"/>
      <c r="J1005"/>
      <c r="K1005"/>
      <c r="L1005"/>
      <c r="M1005" s="18" t="s">
        <v>327</v>
      </c>
      <c r="N1005" t="s">
        <v>1349</v>
      </c>
      <c r="O1005" t="s">
        <v>96</v>
      </c>
      <c r="P1005" s="1" t="s">
        <v>825</v>
      </c>
      <c r="Q1005" s="13" t="s">
        <v>25</v>
      </c>
      <c r="R1005">
        <v>1</v>
      </c>
      <c r="S1005">
        <v>5000</v>
      </c>
      <c r="T1005"/>
      <c r="U1005" s="9"/>
      <c r="V1005" s="9"/>
      <c r="W1005" s="9"/>
      <c r="X1005" s="9"/>
    </row>
    <row r="1006" spans="1:24">
      <c r="A1006" s="13"/>
      <c r="B1006" s="1"/>
      <c r="C1006" s="1"/>
      <c r="D1006" s="3" t="str">
        <f>SUBTOTAL(9,D994:D1005)</f>
        <v>0</v>
      </c>
      <c r="E1006"/>
      <c r="F1006"/>
      <c r="G1006"/>
      <c r="H1006"/>
      <c r="I1006"/>
      <c r="J1006"/>
      <c r="K1006"/>
      <c r="L1006"/>
      <c r="M1006" s="18" t="s">
        <v>328</v>
      </c>
      <c r="N1006" t="s">
        <v>1509</v>
      </c>
      <c r="O1006" t="s">
        <v>96</v>
      </c>
      <c r="P1006" s="1"/>
      <c r="Q1006" s="13"/>
      <c r="R1006"/>
      <c r="S1006"/>
      <c r="T1006"/>
      <c r="U1006" s="9"/>
      <c r="V1006" s="9"/>
      <c r="W1006" s="9"/>
      <c r="X1006" s="9"/>
    </row>
    <row r="1007" spans="1:24">
      <c r="A1007" s="13" t="s">
        <v>19</v>
      </c>
      <c r="B1007" s="1"/>
      <c r="C1007" s="1" t="s">
        <v>20</v>
      </c>
      <c r="D1007" s="3">
        <v>32000</v>
      </c>
      <c r="E1007"/>
      <c r="F1007"/>
      <c r="G1007"/>
      <c r="H1007"/>
      <c r="I1007"/>
      <c r="J1007"/>
      <c r="K1007"/>
      <c r="L1007"/>
      <c r="M1007" s="18" t="s">
        <v>329</v>
      </c>
      <c r="N1007" t="s">
        <v>1348</v>
      </c>
      <c r="O1007" t="s">
        <v>98</v>
      </c>
      <c r="P1007" s="1" t="s">
        <v>24</v>
      </c>
      <c r="Q1007" s="13" t="s">
        <v>25</v>
      </c>
      <c r="R1007">
        <v>1</v>
      </c>
      <c r="S1007">
        <v>32000</v>
      </c>
      <c r="T1007"/>
      <c r="U1007" s="9"/>
      <c r="V1007" s="9"/>
      <c r="W1007" s="9"/>
      <c r="X1007" s="9"/>
    </row>
    <row r="1008" spans="1:24">
      <c r="A1008" s="13" t="s">
        <v>19</v>
      </c>
      <c r="B1008" s="1"/>
      <c r="C1008" s="1" t="s">
        <v>26</v>
      </c>
      <c r="D1008" s="3">
        <v>37000</v>
      </c>
      <c r="E1008"/>
      <c r="F1008"/>
      <c r="G1008"/>
      <c r="H1008"/>
      <c r="I1008"/>
      <c r="J1008"/>
      <c r="K1008"/>
      <c r="L1008"/>
      <c r="M1008" s="18" t="s">
        <v>329</v>
      </c>
      <c r="N1008" t="s">
        <v>1348</v>
      </c>
      <c r="O1008" t="s">
        <v>98</v>
      </c>
      <c r="P1008" s="1" t="s">
        <v>826</v>
      </c>
      <c r="Q1008" s="13" t="s">
        <v>25</v>
      </c>
      <c r="R1008">
        <v>1</v>
      </c>
      <c r="S1008">
        <v>37000</v>
      </c>
      <c r="T1008"/>
      <c r="U1008" s="9"/>
      <c r="V1008" s="9"/>
      <c r="W1008" s="9"/>
      <c r="X1008" s="9"/>
    </row>
    <row r="1009" spans="1:24">
      <c r="A1009" s="13" t="s">
        <v>19</v>
      </c>
      <c r="B1009" s="1"/>
      <c r="C1009" s="1" t="s">
        <v>29</v>
      </c>
      <c r="D1009" s="3">
        <v>5000</v>
      </c>
      <c r="E1009"/>
      <c r="F1009"/>
      <c r="G1009"/>
      <c r="H1009"/>
      <c r="I1009"/>
      <c r="J1009"/>
      <c r="K1009"/>
      <c r="L1009"/>
      <c r="M1009" s="18" t="s">
        <v>329</v>
      </c>
      <c r="N1009" t="s">
        <v>1348</v>
      </c>
      <c r="O1009" t="s">
        <v>98</v>
      </c>
      <c r="P1009" s="1" t="s">
        <v>30</v>
      </c>
      <c r="Q1009" s="13" t="s">
        <v>25</v>
      </c>
      <c r="R1009">
        <v>1</v>
      </c>
      <c r="S1009">
        <v>5000</v>
      </c>
      <c r="T1009"/>
      <c r="U1009" s="9"/>
      <c r="V1009" s="9"/>
      <c r="W1009" s="9"/>
      <c r="X1009" s="9"/>
    </row>
    <row r="1010" spans="1:24">
      <c r="A1010" s="13" t="s">
        <v>19</v>
      </c>
      <c r="B1010" s="1"/>
      <c r="C1010" s="1" t="s">
        <v>32</v>
      </c>
      <c r="D1010" s="3">
        <v>5000</v>
      </c>
      <c r="E1010"/>
      <c r="F1010"/>
      <c r="G1010"/>
      <c r="H1010"/>
      <c r="I1010"/>
      <c r="J1010"/>
      <c r="K1010"/>
      <c r="L1010"/>
      <c r="M1010" s="18" t="s">
        <v>329</v>
      </c>
      <c r="N1010" t="s">
        <v>1348</v>
      </c>
      <c r="O1010" t="s">
        <v>98</v>
      </c>
      <c r="P1010" s="1" t="s">
        <v>827</v>
      </c>
      <c r="Q1010" s="13" t="s">
        <v>25</v>
      </c>
      <c r="R1010">
        <v>1</v>
      </c>
      <c r="S1010">
        <v>5000</v>
      </c>
      <c r="T1010"/>
      <c r="U1010" s="9"/>
      <c r="V1010" s="9"/>
      <c r="W1010" s="9"/>
      <c r="X1010" s="9"/>
    </row>
    <row r="1011" spans="1:24">
      <c r="A1011" s="13"/>
      <c r="B1011" s="1"/>
      <c r="C1011" s="1"/>
      <c r="D1011" s="3" t="str">
        <f>SUBTOTAL(9,D1007:D1010)</f>
        <v>0</v>
      </c>
      <c r="E1011"/>
      <c r="F1011"/>
      <c r="G1011"/>
      <c r="H1011"/>
      <c r="I1011"/>
      <c r="J1011"/>
      <c r="K1011"/>
      <c r="L1011"/>
      <c r="M1011" s="18" t="s">
        <v>330</v>
      </c>
      <c r="N1011" t="s">
        <v>1510</v>
      </c>
      <c r="O1011" t="s">
        <v>98</v>
      </c>
      <c r="P1011" s="1"/>
      <c r="Q1011" s="13"/>
      <c r="R1011"/>
      <c r="S1011"/>
      <c r="T1011"/>
      <c r="U1011" s="9"/>
      <c r="V1011" s="9"/>
      <c r="W1011" s="9"/>
      <c r="X1011" s="9"/>
    </row>
    <row r="1012" spans="1:24">
      <c r="A1012" s="13" t="s">
        <v>19</v>
      </c>
      <c r="B1012" s="1"/>
      <c r="C1012" s="1" t="s">
        <v>20</v>
      </c>
      <c r="D1012" s="3">
        <v>75000</v>
      </c>
      <c r="E1012"/>
      <c r="F1012"/>
      <c r="G1012"/>
      <c r="H1012"/>
      <c r="I1012"/>
      <c r="J1012"/>
      <c r="K1012"/>
      <c r="L1012"/>
      <c r="M1012" s="18" t="s">
        <v>331</v>
      </c>
      <c r="N1012" t="s">
        <v>1358</v>
      </c>
      <c r="O1012" t="s">
        <v>94</v>
      </c>
      <c r="P1012" s="1" t="s">
        <v>780</v>
      </c>
      <c r="Q1012" s="13" t="s">
        <v>25</v>
      </c>
      <c r="R1012">
        <v>3</v>
      </c>
      <c r="S1012">
        <v>25000</v>
      </c>
      <c r="T1012"/>
      <c r="U1012" s="9"/>
      <c r="V1012" s="9"/>
      <c r="W1012" s="9"/>
      <c r="X1012" s="9"/>
    </row>
    <row r="1013" spans="1:24">
      <c r="A1013" s="13" t="s">
        <v>19</v>
      </c>
      <c r="B1013" s="1"/>
      <c r="C1013" s="1" t="s">
        <v>20</v>
      </c>
      <c r="D1013" s="3">
        <v>100000</v>
      </c>
      <c r="E1013"/>
      <c r="F1013"/>
      <c r="G1013"/>
      <c r="H1013"/>
      <c r="I1013"/>
      <c r="J1013"/>
      <c r="K1013"/>
      <c r="L1013"/>
      <c r="M1013" s="18" t="s">
        <v>331</v>
      </c>
      <c r="N1013" t="s">
        <v>1358</v>
      </c>
      <c r="O1013" t="s">
        <v>94</v>
      </c>
      <c r="P1013" s="1" t="s">
        <v>665</v>
      </c>
      <c r="Q1013" s="13" t="s">
        <v>25</v>
      </c>
      <c r="R1013">
        <v>4</v>
      </c>
      <c r="S1013">
        <v>25000</v>
      </c>
      <c r="T1013"/>
      <c r="U1013" s="9"/>
      <c r="V1013" s="9"/>
      <c r="W1013" s="9"/>
      <c r="X1013" s="9"/>
    </row>
    <row r="1014" spans="1:24">
      <c r="A1014" s="13" t="s">
        <v>19</v>
      </c>
      <c r="B1014" s="1"/>
      <c r="C1014" s="1" t="s">
        <v>20</v>
      </c>
      <c r="D1014" s="3">
        <v>50000</v>
      </c>
      <c r="E1014"/>
      <c r="F1014"/>
      <c r="G1014"/>
      <c r="H1014"/>
      <c r="I1014"/>
      <c r="J1014"/>
      <c r="K1014"/>
      <c r="L1014"/>
      <c r="M1014" s="18" t="s">
        <v>331</v>
      </c>
      <c r="N1014" t="s">
        <v>1358</v>
      </c>
      <c r="O1014" t="s">
        <v>94</v>
      </c>
      <c r="P1014" s="1" t="s">
        <v>602</v>
      </c>
      <c r="Q1014" s="13" t="s">
        <v>25</v>
      </c>
      <c r="R1014">
        <v>2</v>
      </c>
      <c r="S1014">
        <v>25000</v>
      </c>
      <c r="T1014"/>
      <c r="U1014" s="9"/>
      <c r="V1014" s="9"/>
      <c r="W1014" s="9"/>
      <c r="X1014" s="9"/>
    </row>
    <row r="1015" spans="1:24">
      <c r="A1015" s="13" t="s">
        <v>19</v>
      </c>
      <c r="B1015" s="1"/>
      <c r="C1015" s="1" t="s">
        <v>29</v>
      </c>
      <c r="D1015" s="3">
        <v>15000</v>
      </c>
      <c r="E1015"/>
      <c r="F1015"/>
      <c r="G1015"/>
      <c r="H1015"/>
      <c r="I1015"/>
      <c r="J1015"/>
      <c r="K1015"/>
      <c r="L1015"/>
      <c r="M1015" s="18" t="s">
        <v>331</v>
      </c>
      <c r="N1015" t="s">
        <v>1358</v>
      </c>
      <c r="O1015" t="s">
        <v>94</v>
      </c>
      <c r="P1015" s="1" t="s">
        <v>781</v>
      </c>
      <c r="Q1015" s="13" t="s">
        <v>25</v>
      </c>
      <c r="R1015">
        <v>3</v>
      </c>
      <c r="S1015">
        <v>5000</v>
      </c>
      <c r="T1015"/>
      <c r="U1015" s="9"/>
      <c r="V1015" s="9"/>
      <c r="W1015" s="9"/>
      <c r="X1015" s="9"/>
    </row>
    <row r="1016" spans="1:24">
      <c r="A1016" s="13" t="s">
        <v>19</v>
      </c>
      <c r="B1016" s="1"/>
      <c r="C1016" s="1" t="s">
        <v>29</v>
      </c>
      <c r="D1016" s="3">
        <v>20000</v>
      </c>
      <c r="E1016"/>
      <c r="F1016"/>
      <c r="G1016"/>
      <c r="H1016"/>
      <c r="I1016"/>
      <c r="J1016"/>
      <c r="K1016"/>
      <c r="L1016"/>
      <c r="M1016" s="18" t="s">
        <v>331</v>
      </c>
      <c r="N1016" t="s">
        <v>1358</v>
      </c>
      <c r="O1016" t="s">
        <v>94</v>
      </c>
      <c r="P1016" s="1" t="s">
        <v>671</v>
      </c>
      <c r="Q1016" s="13" t="s">
        <v>25</v>
      </c>
      <c r="R1016">
        <v>4</v>
      </c>
      <c r="S1016">
        <v>5000</v>
      </c>
      <c r="T1016"/>
      <c r="U1016" s="9"/>
      <c r="V1016" s="9"/>
      <c r="W1016" s="9"/>
      <c r="X1016" s="9"/>
    </row>
    <row r="1017" spans="1:24">
      <c r="A1017" s="13" t="s">
        <v>19</v>
      </c>
      <c r="B1017" s="1"/>
      <c r="C1017" s="1" t="s">
        <v>29</v>
      </c>
      <c r="D1017" s="3">
        <v>10000</v>
      </c>
      <c r="E1017"/>
      <c r="F1017"/>
      <c r="G1017"/>
      <c r="H1017"/>
      <c r="I1017"/>
      <c r="J1017"/>
      <c r="K1017"/>
      <c r="L1017"/>
      <c r="M1017" s="18" t="s">
        <v>331</v>
      </c>
      <c r="N1017" t="s">
        <v>1358</v>
      </c>
      <c r="O1017" t="s">
        <v>94</v>
      </c>
      <c r="P1017" s="1" t="s">
        <v>612</v>
      </c>
      <c r="Q1017" s="13" t="s">
        <v>25</v>
      </c>
      <c r="R1017">
        <v>2</v>
      </c>
      <c r="S1017">
        <v>5000</v>
      </c>
      <c r="T1017"/>
      <c r="U1017" s="9"/>
      <c r="V1017" s="9"/>
      <c r="W1017" s="9"/>
      <c r="X1017" s="9"/>
    </row>
    <row r="1018" spans="1:24">
      <c r="A1018" s="13"/>
      <c r="B1018" s="1"/>
      <c r="C1018" s="1"/>
      <c r="D1018" s="3" t="str">
        <f>SUBTOTAL(9,D1012:D1017)</f>
        <v>0</v>
      </c>
      <c r="E1018"/>
      <c r="F1018"/>
      <c r="G1018"/>
      <c r="H1018"/>
      <c r="I1018"/>
      <c r="J1018"/>
      <c r="K1018"/>
      <c r="L1018"/>
      <c r="M1018" s="18" t="s">
        <v>332</v>
      </c>
      <c r="N1018" t="s">
        <v>1511</v>
      </c>
      <c r="O1018" t="s">
        <v>94</v>
      </c>
      <c r="P1018" s="1"/>
      <c r="Q1018" s="13"/>
      <c r="R1018"/>
      <c r="S1018"/>
      <c r="T1018"/>
      <c r="U1018" s="9"/>
      <c r="V1018" s="9"/>
      <c r="W1018" s="9"/>
      <c r="X1018" s="9"/>
    </row>
    <row r="1019" spans="1:24">
      <c r="A1019" s="13" t="s">
        <v>19</v>
      </c>
      <c r="B1019" s="1"/>
      <c r="C1019" s="1" t="s">
        <v>20</v>
      </c>
      <c r="D1019" s="3">
        <v>132000</v>
      </c>
      <c r="E1019"/>
      <c r="F1019"/>
      <c r="G1019"/>
      <c r="H1019"/>
      <c r="I1019"/>
      <c r="J1019"/>
      <c r="K1019"/>
      <c r="L1019"/>
      <c r="M1019" s="18" t="s">
        <v>333</v>
      </c>
      <c r="N1019" t="s">
        <v>1362</v>
      </c>
      <c r="O1019" t="s">
        <v>94</v>
      </c>
      <c r="P1019" s="1" t="s">
        <v>740</v>
      </c>
      <c r="Q1019" s="13" t="s">
        <v>1018</v>
      </c>
      <c r="R1019">
        <v>4</v>
      </c>
      <c r="S1019">
        <v>33000</v>
      </c>
      <c r="T1019"/>
      <c r="U1019" s="9"/>
      <c r="V1019" s="9"/>
      <c r="W1019" s="9"/>
      <c r="X1019" s="9"/>
    </row>
    <row r="1020" spans="1:24">
      <c r="A1020" s="13" t="s">
        <v>19</v>
      </c>
      <c r="B1020" s="1"/>
      <c r="C1020" s="1" t="s">
        <v>29</v>
      </c>
      <c r="D1020" s="3">
        <v>20000</v>
      </c>
      <c r="E1020"/>
      <c r="F1020"/>
      <c r="G1020"/>
      <c r="H1020"/>
      <c r="I1020"/>
      <c r="J1020"/>
      <c r="K1020"/>
      <c r="L1020"/>
      <c r="M1020" s="18" t="s">
        <v>333</v>
      </c>
      <c r="N1020" t="s">
        <v>1362</v>
      </c>
      <c r="O1020" t="s">
        <v>94</v>
      </c>
      <c r="P1020" s="1" t="s">
        <v>742</v>
      </c>
      <c r="Q1020" s="13" t="s">
        <v>1018</v>
      </c>
      <c r="R1020">
        <v>4</v>
      </c>
      <c r="S1020">
        <v>5000</v>
      </c>
      <c r="T1020"/>
      <c r="U1020" s="9"/>
      <c r="V1020" s="9"/>
      <c r="W1020" s="9"/>
      <c r="X1020" s="9"/>
    </row>
    <row r="1021" spans="1:24">
      <c r="A1021" s="13"/>
      <c r="B1021" s="1"/>
      <c r="C1021" s="1"/>
      <c r="D1021" s="3" t="str">
        <f>SUBTOTAL(9,D1019:D1020)</f>
        <v>0</v>
      </c>
      <c r="E1021"/>
      <c r="F1021"/>
      <c r="G1021"/>
      <c r="H1021"/>
      <c r="I1021"/>
      <c r="J1021"/>
      <c r="K1021"/>
      <c r="L1021"/>
      <c r="M1021" s="18" t="s">
        <v>334</v>
      </c>
      <c r="N1021" t="s">
        <v>1512</v>
      </c>
      <c r="O1021" t="s">
        <v>94</v>
      </c>
      <c r="P1021" s="1"/>
      <c r="Q1021" s="13"/>
      <c r="R1021"/>
      <c r="S1021"/>
      <c r="T1021"/>
      <c r="U1021" s="9"/>
      <c r="V1021" s="9"/>
      <c r="W1021" s="9"/>
      <c r="X1021" s="9"/>
    </row>
    <row r="1022" spans="1:24">
      <c r="A1022" s="13" t="s">
        <v>19</v>
      </c>
      <c r="B1022" s="1"/>
      <c r="C1022" s="1" t="s">
        <v>20</v>
      </c>
      <c r="D1022" s="3">
        <v>40000</v>
      </c>
      <c r="E1022"/>
      <c r="F1022"/>
      <c r="G1022"/>
      <c r="H1022"/>
      <c r="I1022"/>
      <c r="J1022"/>
      <c r="K1022"/>
      <c r="L1022"/>
      <c r="M1022" s="18" t="s">
        <v>335</v>
      </c>
      <c r="N1022" t="s">
        <v>1372</v>
      </c>
      <c r="O1022" t="s">
        <v>1395</v>
      </c>
      <c r="P1022" s="1" t="s">
        <v>24</v>
      </c>
      <c r="Q1022" s="13" t="s">
        <v>25</v>
      </c>
      <c r="R1022">
        <v>2</v>
      </c>
      <c r="S1022">
        <v>20000</v>
      </c>
      <c r="T1022"/>
      <c r="U1022" s="9"/>
      <c r="V1022" s="9"/>
      <c r="W1022" s="9"/>
      <c r="X1022" s="9"/>
    </row>
    <row r="1023" spans="1:24">
      <c r="A1023" s="13" t="s">
        <v>19</v>
      </c>
      <c r="B1023" s="1"/>
      <c r="C1023" s="1" t="s">
        <v>20</v>
      </c>
      <c r="D1023" s="3">
        <v>40000</v>
      </c>
      <c r="E1023"/>
      <c r="F1023"/>
      <c r="G1023"/>
      <c r="H1023"/>
      <c r="I1023"/>
      <c r="J1023"/>
      <c r="K1023"/>
      <c r="L1023"/>
      <c r="M1023" s="18" t="s">
        <v>335</v>
      </c>
      <c r="N1023" t="s">
        <v>1372</v>
      </c>
      <c r="O1023" t="s">
        <v>1395</v>
      </c>
      <c r="P1023" s="1" t="s">
        <v>24</v>
      </c>
      <c r="Q1023" s="13" t="s">
        <v>25</v>
      </c>
      <c r="R1023">
        <v>2</v>
      </c>
      <c r="S1023">
        <v>20000</v>
      </c>
      <c r="T1023"/>
      <c r="U1023" s="9"/>
      <c r="V1023" s="9"/>
      <c r="W1023" s="9"/>
      <c r="X1023" s="9"/>
    </row>
    <row r="1024" spans="1:24">
      <c r="A1024" s="13" t="s">
        <v>19</v>
      </c>
      <c r="B1024" s="1"/>
      <c r="C1024" s="1" t="s">
        <v>20</v>
      </c>
      <c r="D1024" s="3">
        <v>40000</v>
      </c>
      <c r="E1024"/>
      <c r="F1024"/>
      <c r="G1024"/>
      <c r="H1024"/>
      <c r="I1024"/>
      <c r="J1024"/>
      <c r="K1024"/>
      <c r="L1024"/>
      <c r="M1024" s="18" t="s">
        <v>335</v>
      </c>
      <c r="N1024" t="s">
        <v>1372</v>
      </c>
      <c r="O1024" t="s">
        <v>1395</v>
      </c>
      <c r="P1024" s="1" t="s">
        <v>24</v>
      </c>
      <c r="Q1024" s="13" t="s">
        <v>25</v>
      </c>
      <c r="R1024">
        <v>2</v>
      </c>
      <c r="S1024">
        <v>20000</v>
      </c>
      <c r="T1024"/>
      <c r="U1024" s="9"/>
      <c r="V1024" s="9"/>
      <c r="W1024" s="9"/>
      <c r="X1024" s="9"/>
    </row>
    <row r="1025" spans="1:24">
      <c r="A1025" s="13" t="s">
        <v>19</v>
      </c>
      <c r="B1025" s="1"/>
      <c r="C1025" s="1" t="s">
        <v>20</v>
      </c>
      <c r="D1025" s="3">
        <v>40000</v>
      </c>
      <c r="E1025"/>
      <c r="F1025"/>
      <c r="G1025"/>
      <c r="H1025"/>
      <c r="I1025"/>
      <c r="J1025"/>
      <c r="K1025"/>
      <c r="L1025"/>
      <c r="M1025" s="18" t="s">
        <v>335</v>
      </c>
      <c r="N1025" t="s">
        <v>1372</v>
      </c>
      <c r="O1025" t="s">
        <v>1395</v>
      </c>
      <c r="P1025" s="1" t="s">
        <v>24</v>
      </c>
      <c r="Q1025" s="13" t="s">
        <v>25</v>
      </c>
      <c r="R1025">
        <v>2</v>
      </c>
      <c r="S1025">
        <v>20000</v>
      </c>
      <c r="T1025"/>
      <c r="U1025" s="9"/>
      <c r="V1025" s="9"/>
      <c r="W1025" s="9"/>
      <c r="X1025" s="9"/>
    </row>
    <row r="1026" spans="1:24">
      <c r="A1026" s="13" t="s">
        <v>19</v>
      </c>
      <c r="B1026" s="1"/>
      <c r="C1026" s="1" t="s">
        <v>20</v>
      </c>
      <c r="D1026" s="3">
        <v>80000</v>
      </c>
      <c r="E1026"/>
      <c r="F1026"/>
      <c r="G1026"/>
      <c r="H1026"/>
      <c r="I1026"/>
      <c r="J1026"/>
      <c r="K1026"/>
      <c r="L1026"/>
      <c r="M1026" s="18" t="s">
        <v>335</v>
      </c>
      <c r="N1026" t="s">
        <v>1372</v>
      </c>
      <c r="O1026" t="s">
        <v>1395</v>
      </c>
      <c r="P1026" s="1" t="s">
        <v>24</v>
      </c>
      <c r="Q1026" s="13" t="s">
        <v>25</v>
      </c>
      <c r="R1026">
        <v>4</v>
      </c>
      <c r="S1026">
        <v>20000</v>
      </c>
      <c r="T1026"/>
      <c r="U1026" s="9"/>
      <c r="V1026" s="9"/>
      <c r="W1026" s="9"/>
      <c r="X1026" s="9"/>
    </row>
    <row r="1027" spans="1:24">
      <c r="A1027" s="13" t="s">
        <v>19</v>
      </c>
      <c r="B1027" s="1"/>
      <c r="C1027" s="1" t="s">
        <v>29</v>
      </c>
      <c r="D1027" s="3">
        <v>10000</v>
      </c>
      <c r="E1027"/>
      <c r="F1027"/>
      <c r="G1027"/>
      <c r="H1027"/>
      <c r="I1027"/>
      <c r="J1027"/>
      <c r="K1027"/>
      <c r="L1027"/>
      <c r="M1027" s="18" t="s">
        <v>335</v>
      </c>
      <c r="N1027" t="s">
        <v>1372</v>
      </c>
      <c r="O1027" t="s">
        <v>1395</v>
      </c>
      <c r="P1027" s="1" t="s">
        <v>30</v>
      </c>
      <c r="Q1027" s="13" t="s">
        <v>25</v>
      </c>
      <c r="R1027">
        <v>2</v>
      </c>
      <c r="S1027">
        <v>5000</v>
      </c>
      <c r="T1027"/>
      <c r="U1027" s="9"/>
      <c r="V1027" s="9"/>
      <c r="W1027" s="9"/>
      <c r="X1027" s="9"/>
    </row>
    <row r="1028" spans="1:24">
      <c r="A1028" s="13" t="s">
        <v>19</v>
      </c>
      <c r="B1028" s="1"/>
      <c r="C1028" s="1" t="s">
        <v>29</v>
      </c>
      <c r="D1028" s="3">
        <v>10000</v>
      </c>
      <c r="E1028"/>
      <c r="F1028"/>
      <c r="G1028"/>
      <c r="H1028"/>
      <c r="I1028"/>
      <c r="J1028"/>
      <c r="K1028"/>
      <c r="L1028"/>
      <c r="M1028" s="18" t="s">
        <v>335</v>
      </c>
      <c r="N1028" t="s">
        <v>1372</v>
      </c>
      <c r="O1028" t="s">
        <v>1395</v>
      </c>
      <c r="P1028" s="1" t="s">
        <v>30</v>
      </c>
      <c r="Q1028" s="13" t="s">
        <v>25</v>
      </c>
      <c r="R1028">
        <v>2</v>
      </c>
      <c r="S1028">
        <v>5000</v>
      </c>
      <c r="T1028"/>
      <c r="U1028" s="9"/>
      <c r="V1028" s="9"/>
      <c r="W1028" s="9"/>
      <c r="X1028" s="9"/>
    </row>
    <row r="1029" spans="1:24">
      <c r="A1029" s="13" t="s">
        <v>19</v>
      </c>
      <c r="B1029" s="1"/>
      <c r="C1029" s="1" t="s">
        <v>29</v>
      </c>
      <c r="D1029" s="3">
        <v>10000</v>
      </c>
      <c r="E1029"/>
      <c r="F1029"/>
      <c r="G1029"/>
      <c r="H1029"/>
      <c r="I1029"/>
      <c r="J1029"/>
      <c r="K1029"/>
      <c r="L1029"/>
      <c r="M1029" s="18" t="s">
        <v>335</v>
      </c>
      <c r="N1029" t="s">
        <v>1372</v>
      </c>
      <c r="O1029" t="s">
        <v>1395</v>
      </c>
      <c r="P1029" s="1" t="s">
        <v>30</v>
      </c>
      <c r="Q1029" s="13" t="s">
        <v>25</v>
      </c>
      <c r="R1029">
        <v>2</v>
      </c>
      <c r="S1029">
        <v>5000</v>
      </c>
      <c r="T1029"/>
      <c r="U1029" s="9"/>
      <c r="V1029" s="9"/>
      <c r="W1029" s="9"/>
      <c r="X1029" s="9"/>
    </row>
    <row r="1030" spans="1:24">
      <c r="A1030" s="13" t="s">
        <v>19</v>
      </c>
      <c r="B1030" s="1"/>
      <c r="C1030" s="1" t="s">
        <v>29</v>
      </c>
      <c r="D1030" s="3">
        <v>10000</v>
      </c>
      <c r="E1030"/>
      <c r="F1030"/>
      <c r="G1030"/>
      <c r="H1030"/>
      <c r="I1030"/>
      <c r="J1030"/>
      <c r="K1030"/>
      <c r="L1030"/>
      <c r="M1030" s="18" t="s">
        <v>335</v>
      </c>
      <c r="N1030" t="s">
        <v>1372</v>
      </c>
      <c r="O1030" t="s">
        <v>1395</v>
      </c>
      <c r="P1030" s="1" t="s">
        <v>30</v>
      </c>
      <c r="Q1030" s="13" t="s">
        <v>25</v>
      </c>
      <c r="R1030">
        <v>2</v>
      </c>
      <c r="S1030">
        <v>5000</v>
      </c>
      <c r="T1030"/>
      <c r="U1030" s="9"/>
      <c r="V1030" s="9"/>
      <c r="W1030" s="9"/>
      <c r="X1030" s="9"/>
    </row>
    <row r="1031" spans="1:24">
      <c r="A1031" s="13" t="s">
        <v>19</v>
      </c>
      <c r="B1031" s="1"/>
      <c r="C1031" s="1" t="s">
        <v>29</v>
      </c>
      <c r="D1031" s="3">
        <v>20000</v>
      </c>
      <c r="E1031"/>
      <c r="F1031"/>
      <c r="G1031"/>
      <c r="H1031"/>
      <c r="I1031"/>
      <c r="J1031"/>
      <c r="K1031"/>
      <c r="L1031"/>
      <c r="M1031" s="18" t="s">
        <v>335</v>
      </c>
      <c r="N1031" t="s">
        <v>1372</v>
      </c>
      <c r="O1031" t="s">
        <v>1395</v>
      </c>
      <c r="P1031" s="1" t="s">
        <v>30</v>
      </c>
      <c r="Q1031" s="13" t="s">
        <v>25</v>
      </c>
      <c r="R1031">
        <v>4</v>
      </c>
      <c r="S1031">
        <v>5000</v>
      </c>
      <c r="T1031"/>
      <c r="U1031" s="9"/>
      <c r="V1031" s="9"/>
      <c r="W1031" s="9"/>
      <c r="X1031" s="9"/>
    </row>
    <row r="1032" spans="1:24">
      <c r="A1032" s="13"/>
      <c r="B1032" s="1"/>
      <c r="C1032" s="1"/>
      <c r="D1032" s="3" t="str">
        <f>SUBTOTAL(9,D1022:D1031)</f>
        <v>0</v>
      </c>
      <c r="E1032"/>
      <c r="F1032"/>
      <c r="G1032"/>
      <c r="H1032"/>
      <c r="I1032"/>
      <c r="J1032"/>
      <c r="K1032"/>
      <c r="L1032"/>
      <c r="M1032" s="18" t="s">
        <v>336</v>
      </c>
      <c r="N1032" t="s">
        <v>1513</v>
      </c>
      <c r="O1032" t="s">
        <v>1395</v>
      </c>
      <c r="P1032" s="1"/>
      <c r="Q1032" s="13"/>
      <c r="R1032"/>
      <c r="S1032"/>
      <c r="T1032"/>
      <c r="U1032" s="9"/>
      <c r="V1032" s="9"/>
      <c r="W1032" s="9"/>
      <c r="X1032" s="9"/>
    </row>
    <row r="1033" spans="1:24">
      <c r="A1033" s="13" t="s">
        <v>19</v>
      </c>
      <c r="B1033" s="1"/>
      <c r="C1033" s="1" t="s">
        <v>20</v>
      </c>
      <c r="D1033" s="3">
        <v>54000</v>
      </c>
      <c r="E1033"/>
      <c r="F1033"/>
      <c r="G1033"/>
      <c r="H1033"/>
      <c r="I1033"/>
      <c r="J1033"/>
      <c r="K1033"/>
      <c r="L1033"/>
      <c r="M1033" s="18" t="s">
        <v>337</v>
      </c>
      <c r="N1033" t="s">
        <v>1393</v>
      </c>
      <c r="O1033" t="s">
        <v>94</v>
      </c>
      <c r="P1033" s="1" t="s">
        <v>24</v>
      </c>
      <c r="Q1033" s="13" t="s">
        <v>25</v>
      </c>
      <c r="R1033">
        <v>3</v>
      </c>
      <c r="S1033">
        <v>18000</v>
      </c>
      <c r="T1033"/>
      <c r="U1033" s="9"/>
      <c r="V1033" s="9"/>
      <c r="W1033" s="9"/>
      <c r="X1033" s="9"/>
    </row>
    <row r="1034" spans="1:24">
      <c r="A1034" s="13" t="s">
        <v>19</v>
      </c>
      <c r="B1034" s="1"/>
      <c r="C1034" s="1" t="s">
        <v>20</v>
      </c>
      <c r="D1034" s="3">
        <v>36000</v>
      </c>
      <c r="E1034"/>
      <c r="F1034"/>
      <c r="G1034"/>
      <c r="H1034"/>
      <c r="I1034"/>
      <c r="J1034"/>
      <c r="K1034"/>
      <c r="L1034"/>
      <c r="M1034" s="18" t="s">
        <v>337</v>
      </c>
      <c r="N1034" t="s">
        <v>1393</v>
      </c>
      <c r="O1034" t="s">
        <v>94</v>
      </c>
      <c r="P1034" s="1" t="s">
        <v>24</v>
      </c>
      <c r="Q1034" s="13" t="s">
        <v>25</v>
      </c>
      <c r="R1034">
        <v>2</v>
      </c>
      <c r="S1034">
        <v>18000</v>
      </c>
      <c r="T1034"/>
      <c r="U1034" s="9"/>
      <c r="V1034" s="9"/>
      <c r="W1034" s="9"/>
      <c r="X1034" s="9"/>
    </row>
    <row r="1035" spans="1:24">
      <c r="A1035" s="13" t="s">
        <v>19</v>
      </c>
      <c r="B1035" s="1"/>
      <c r="C1035" s="1" t="s">
        <v>29</v>
      </c>
      <c r="D1035" s="3">
        <v>15000</v>
      </c>
      <c r="E1035"/>
      <c r="F1035"/>
      <c r="G1035"/>
      <c r="H1035"/>
      <c r="I1035"/>
      <c r="J1035"/>
      <c r="K1035"/>
      <c r="L1035"/>
      <c r="M1035" s="18" t="s">
        <v>337</v>
      </c>
      <c r="N1035" t="s">
        <v>1393</v>
      </c>
      <c r="O1035" t="s">
        <v>94</v>
      </c>
      <c r="P1035" s="1" t="s">
        <v>30</v>
      </c>
      <c r="Q1035" s="13" t="s">
        <v>25</v>
      </c>
      <c r="R1035">
        <v>3</v>
      </c>
      <c r="S1035">
        <v>5000</v>
      </c>
      <c r="T1035"/>
      <c r="U1035" s="9"/>
      <c r="V1035" s="9"/>
      <c r="W1035" s="9"/>
      <c r="X1035" s="9"/>
    </row>
    <row r="1036" spans="1:24">
      <c r="A1036" s="13" t="s">
        <v>19</v>
      </c>
      <c r="B1036" s="1"/>
      <c r="C1036" s="1" t="s">
        <v>29</v>
      </c>
      <c r="D1036" s="3">
        <v>10000</v>
      </c>
      <c r="E1036"/>
      <c r="F1036"/>
      <c r="G1036"/>
      <c r="H1036"/>
      <c r="I1036"/>
      <c r="J1036"/>
      <c r="K1036"/>
      <c r="L1036"/>
      <c r="M1036" s="18" t="s">
        <v>337</v>
      </c>
      <c r="N1036" t="s">
        <v>1393</v>
      </c>
      <c r="O1036" t="s">
        <v>94</v>
      </c>
      <c r="P1036" s="1" t="s">
        <v>30</v>
      </c>
      <c r="Q1036" s="13" t="s">
        <v>25</v>
      </c>
      <c r="R1036">
        <v>2</v>
      </c>
      <c r="S1036">
        <v>5000</v>
      </c>
      <c r="T1036"/>
      <c r="U1036" s="9"/>
      <c r="V1036" s="9"/>
      <c r="W1036" s="9"/>
      <c r="X1036" s="9"/>
    </row>
    <row r="1037" spans="1:24">
      <c r="A1037" s="13"/>
      <c r="B1037" s="1"/>
      <c r="C1037" s="1"/>
      <c r="D1037" s="3" t="str">
        <f>SUBTOTAL(9,D1033:D1036)</f>
        <v>0</v>
      </c>
      <c r="E1037"/>
      <c r="F1037"/>
      <c r="G1037"/>
      <c r="H1037"/>
      <c r="I1037"/>
      <c r="J1037"/>
      <c r="K1037"/>
      <c r="L1037"/>
      <c r="M1037" s="18" t="s">
        <v>338</v>
      </c>
      <c r="N1037" t="s">
        <v>1514</v>
      </c>
      <c r="O1037" t="s">
        <v>94</v>
      </c>
      <c r="P1037" s="1"/>
      <c r="Q1037" s="13"/>
      <c r="R1037"/>
      <c r="S1037"/>
      <c r="T1037"/>
      <c r="U1037" s="9"/>
      <c r="V1037" s="9"/>
      <c r="W1037" s="9"/>
      <c r="X1037" s="9"/>
    </row>
    <row r="1038" spans="1:24">
      <c r="A1038" s="13" t="s">
        <v>19</v>
      </c>
      <c r="B1038" s="1"/>
      <c r="C1038" s="1" t="s">
        <v>26</v>
      </c>
      <c r="D1038" s="3">
        <v>37000</v>
      </c>
      <c r="E1038"/>
      <c r="F1038"/>
      <c r="G1038"/>
      <c r="H1038"/>
      <c r="I1038"/>
      <c r="J1038"/>
      <c r="K1038"/>
      <c r="L1038"/>
      <c r="M1038" s="18" t="s">
        <v>339</v>
      </c>
      <c r="N1038" t="s">
        <v>1359</v>
      </c>
      <c r="O1038" t="s">
        <v>1395</v>
      </c>
      <c r="P1038" s="1" t="s">
        <v>828</v>
      </c>
      <c r="Q1038" s="13" t="s">
        <v>25</v>
      </c>
      <c r="R1038">
        <v>1</v>
      </c>
      <c r="S1038">
        <v>37000</v>
      </c>
      <c r="T1038"/>
      <c r="U1038" s="9"/>
      <c r="V1038" s="9"/>
      <c r="W1038" s="9"/>
      <c r="X1038" s="9"/>
    </row>
    <row r="1039" spans="1:24">
      <c r="A1039" s="13" t="s">
        <v>19</v>
      </c>
      <c r="B1039" s="1"/>
      <c r="C1039" s="1" t="s">
        <v>32</v>
      </c>
      <c r="D1039" s="3">
        <v>5000</v>
      </c>
      <c r="E1039"/>
      <c r="F1039"/>
      <c r="G1039"/>
      <c r="H1039"/>
      <c r="I1039"/>
      <c r="J1039"/>
      <c r="K1039"/>
      <c r="L1039"/>
      <c r="M1039" s="18" t="s">
        <v>339</v>
      </c>
      <c r="N1039" t="s">
        <v>1359</v>
      </c>
      <c r="O1039" t="s">
        <v>1395</v>
      </c>
      <c r="P1039" s="1" t="s">
        <v>829</v>
      </c>
      <c r="Q1039" s="13" t="s">
        <v>25</v>
      </c>
      <c r="R1039">
        <v>1</v>
      </c>
      <c r="S1039">
        <v>5000</v>
      </c>
      <c r="T1039"/>
      <c r="U1039" s="9"/>
      <c r="V1039" s="9"/>
      <c r="W1039" s="9"/>
      <c r="X1039" s="9"/>
    </row>
    <row r="1040" spans="1:24">
      <c r="A1040" s="13"/>
      <c r="B1040" s="1"/>
      <c r="C1040" s="1"/>
      <c r="D1040" s="3" t="str">
        <f>SUBTOTAL(9,D1038:D1039)</f>
        <v>0</v>
      </c>
      <c r="E1040"/>
      <c r="F1040"/>
      <c r="G1040"/>
      <c r="H1040"/>
      <c r="I1040"/>
      <c r="J1040"/>
      <c r="K1040"/>
      <c r="L1040"/>
      <c r="M1040" s="18" t="s">
        <v>340</v>
      </c>
      <c r="N1040" t="s">
        <v>1515</v>
      </c>
      <c r="O1040" t="s">
        <v>1395</v>
      </c>
      <c r="P1040" s="1"/>
      <c r="Q1040" s="13"/>
      <c r="R1040"/>
      <c r="S1040"/>
      <c r="T1040"/>
      <c r="U1040" s="9"/>
      <c r="V1040" s="9"/>
      <c r="W1040" s="9"/>
      <c r="X1040" s="9"/>
    </row>
    <row r="1041" spans="1:24">
      <c r="A1041" s="13" t="s">
        <v>19</v>
      </c>
      <c r="B1041" s="1"/>
      <c r="C1041" s="1" t="s">
        <v>20</v>
      </c>
      <c r="D1041" s="3">
        <v>72000</v>
      </c>
      <c r="E1041"/>
      <c r="F1041"/>
      <c r="G1041"/>
      <c r="H1041"/>
      <c r="I1041"/>
      <c r="J1041"/>
      <c r="K1041"/>
      <c r="L1041"/>
      <c r="M1041" s="18" t="s">
        <v>341</v>
      </c>
      <c r="N1041" t="s">
        <v>1145</v>
      </c>
      <c r="O1041" t="s">
        <v>94</v>
      </c>
      <c r="P1041" s="1" t="s">
        <v>24</v>
      </c>
      <c r="Q1041" s="13" t="s">
        <v>25</v>
      </c>
      <c r="R1041">
        <v>4</v>
      </c>
      <c r="S1041">
        <v>18000</v>
      </c>
      <c r="T1041"/>
      <c r="U1041" s="9"/>
      <c r="V1041" s="9"/>
      <c r="W1041" s="9"/>
      <c r="X1041" s="9"/>
    </row>
    <row r="1042" spans="1:24">
      <c r="A1042" s="13" t="s">
        <v>19</v>
      </c>
      <c r="B1042" s="1"/>
      <c r="C1042" s="1" t="s">
        <v>29</v>
      </c>
      <c r="D1042" s="3">
        <v>20000</v>
      </c>
      <c r="E1042"/>
      <c r="F1042"/>
      <c r="G1042"/>
      <c r="H1042"/>
      <c r="I1042"/>
      <c r="J1042"/>
      <c r="K1042"/>
      <c r="L1042"/>
      <c r="M1042" s="18" t="s">
        <v>341</v>
      </c>
      <c r="N1042" t="s">
        <v>1145</v>
      </c>
      <c r="O1042" t="s">
        <v>94</v>
      </c>
      <c r="P1042" s="1" t="s">
        <v>30</v>
      </c>
      <c r="Q1042" s="13" t="s">
        <v>25</v>
      </c>
      <c r="R1042">
        <v>4</v>
      </c>
      <c r="S1042">
        <v>5000</v>
      </c>
      <c r="T1042"/>
      <c r="U1042" s="9"/>
      <c r="V1042" s="9"/>
      <c r="W1042" s="9"/>
      <c r="X1042" s="9"/>
    </row>
    <row r="1043" spans="1:24">
      <c r="A1043" s="13"/>
      <c r="B1043" s="1"/>
      <c r="C1043" s="1"/>
      <c r="D1043" s="3" t="str">
        <f>SUBTOTAL(9,D1041:D1042)</f>
        <v>0</v>
      </c>
      <c r="E1043"/>
      <c r="F1043"/>
      <c r="G1043"/>
      <c r="H1043"/>
      <c r="I1043"/>
      <c r="J1043"/>
      <c r="K1043"/>
      <c r="L1043"/>
      <c r="M1043" s="18" t="s">
        <v>342</v>
      </c>
      <c r="N1043" t="s">
        <v>1516</v>
      </c>
      <c r="O1043" t="s">
        <v>94</v>
      </c>
      <c r="P1043" s="1"/>
      <c r="Q1043" s="13"/>
      <c r="R1043"/>
      <c r="S1043"/>
      <c r="T1043"/>
      <c r="U1043" s="9"/>
      <c r="V1043" s="9"/>
      <c r="W1043" s="9"/>
      <c r="X1043" s="9"/>
    </row>
    <row r="1044" spans="1:24">
      <c r="A1044" s="13" t="s">
        <v>19</v>
      </c>
      <c r="B1044" s="1"/>
      <c r="C1044" s="1" t="s">
        <v>20</v>
      </c>
      <c r="D1044" s="3">
        <v>96000</v>
      </c>
      <c r="E1044"/>
      <c r="F1044"/>
      <c r="G1044"/>
      <c r="H1044"/>
      <c r="I1044"/>
      <c r="J1044"/>
      <c r="K1044"/>
      <c r="L1044"/>
      <c r="M1044" s="18" t="s">
        <v>343</v>
      </c>
      <c r="N1044" t="s">
        <v>1317</v>
      </c>
      <c r="O1044" t="s">
        <v>1395</v>
      </c>
      <c r="P1044" s="1" t="s">
        <v>24</v>
      </c>
      <c r="Q1044" s="13" t="s">
        <v>25</v>
      </c>
      <c r="R1044">
        <v>3</v>
      </c>
      <c r="S1044">
        <v>32000</v>
      </c>
      <c r="T1044"/>
      <c r="U1044" s="9"/>
      <c r="V1044" s="9"/>
      <c r="W1044" s="9"/>
      <c r="X1044" s="9"/>
    </row>
    <row r="1045" spans="1:24">
      <c r="A1045" s="13" t="s">
        <v>19</v>
      </c>
      <c r="B1045" s="1"/>
      <c r="C1045" s="1" t="s">
        <v>20</v>
      </c>
      <c r="D1045" s="3">
        <v>64000</v>
      </c>
      <c r="E1045"/>
      <c r="F1045"/>
      <c r="G1045"/>
      <c r="H1045"/>
      <c r="I1045"/>
      <c r="J1045"/>
      <c r="K1045"/>
      <c r="L1045"/>
      <c r="M1045" s="18" t="s">
        <v>343</v>
      </c>
      <c r="N1045" t="s">
        <v>1317</v>
      </c>
      <c r="O1045" t="s">
        <v>1395</v>
      </c>
      <c r="P1045" s="1" t="s">
        <v>24</v>
      </c>
      <c r="Q1045" s="13" t="s">
        <v>25</v>
      </c>
      <c r="R1045">
        <v>2</v>
      </c>
      <c r="S1045">
        <v>32000</v>
      </c>
      <c r="T1045"/>
      <c r="U1045" s="9"/>
      <c r="V1045" s="9"/>
      <c r="W1045" s="9"/>
      <c r="X1045" s="9"/>
    </row>
    <row r="1046" spans="1:24">
      <c r="A1046" s="13" t="s">
        <v>19</v>
      </c>
      <c r="B1046" s="1"/>
      <c r="C1046" s="1" t="s">
        <v>26</v>
      </c>
      <c r="D1046" s="3">
        <v>64000</v>
      </c>
      <c r="E1046"/>
      <c r="F1046"/>
      <c r="G1046"/>
      <c r="H1046"/>
      <c r="I1046"/>
      <c r="J1046"/>
      <c r="K1046"/>
      <c r="L1046"/>
      <c r="M1046" s="18" t="s">
        <v>343</v>
      </c>
      <c r="N1046" t="s">
        <v>1317</v>
      </c>
      <c r="O1046" t="s">
        <v>1395</v>
      </c>
      <c r="P1046" s="1" t="s">
        <v>512</v>
      </c>
      <c r="Q1046" s="13" t="s">
        <v>25</v>
      </c>
      <c r="R1046">
        <v>2</v>
      </c>
      <c r="S1046">
        <v>32000</v>
      </c>
      <c r="T1046"/>
      <c r="U1046" s="9"/>
      <c r="V1046" s="9"/>
      <c r="W1046" s="9"/>
      <c r="X1046" s="9"/>
    </row>
    <row r="1047" spans="1:24">
      <c r="A1047" s="13" t="s">
        <v>19</v>
      </c>
      <c r="B1047" s="1"/>
      <c r="C1047" s="1" t="s">
        <v>26</v>
      </c>
      <c r="D1047" s="3">
        <v>74000</v>
      </c>
      <c r="E1047"/>
      <c r="F1047"/>
      <c r="G1047"/>
      <c r="H1047"/>
      <c r="I1047"/>
      <c r="J1047"/>
      <c r="K1047"/>
      <c r="L1047"/>
      <c r="M1047" s="18" t="s">
        <v>343</v>
      </c>
      <c r="N1047" t="s">
        <v>1317</v>
      </c>
      <c r="O1047" t="s">
        <v>1395</v>
      </c>
      <c r="P1047" s="1" t="s">
        <v>650</v>
      </c>
      <c r="Q1047" s="13" t="s">
        <v>25</v>
      </c>
      <c r="R1047">
        <v>2</v>
      </c>
      <c r="S1047">
        <v>37000</v>
      </c>
      <c r="T1047"/>
      <c r="U1047" s="9"/>
      <c r="V1047" s="9"/>
      <c r="W1047" s="9"/>
      <c r="X1047" s="9"/>
    </row>
    <row r="1048" spans="1:24">
      <c r="A1048" s="13" t="s">
        <v>19</v>
      </c>
      <c r="B1048" s="1"/>
      <c r="C1048" s="1" t="s">
        <v>26</v>
      </c>
      <c r="D1048" s="3">
        <v>74000</v>
      </c>
      <c r="E1048"/>
      <c r="F1048"/>
      <c r="G1048"/>
      <c r="H1048"/>
      <c r="I1048"/>
      <c r="J1048"/>
      <c r="K1048"/>
      <c r="L1048"/>
      <c r="M1048" s="18" t="s">
        <v>343</v>
      </c>
      <c r="N1048" t="s">
        <v>1317</v>
      </c>
      <c r="O1048" t="s">
        <v>1395</v>
      </c>
      <c r="P1048" s="1" t="s">
        <v>651</v>
      </c>
      <c r="Q1048" s="13" t="s">
        <v>25</v>
      </c>
      <c r="R1048">
        <v>2</v>
      </c>
      <c r="S1048">
        <v>37000</v>
      </c>
      <c r="T1048"/>
      <c r="U1048" s="9"/>
      <c r="V1048" s="9"/>
      <c r="W1048" s="9"/>
      <c r="X1048" s="9"/>
    </row>
    <row r="1049" spans="1:24">
      <c r="A1049" s="13" t="s">
        <v>19</v>
      </c>
      <c r="B1049" s="1"/>
      <c r="C1049" s="1" t="s">
        <v>29</v>
      </c>
      <c r="D1049" s="3">
        <v>15000</v>
      </c>
      <c r="E1049"/>
      <c r="F1049"/>
      <c r="G1049"/>
      <c r="H1049"/>
      <c r="I1049"/>
      <c r="J1049"/>
      <c r="K1049"/>
      <c r="L1049"/>
      <c r="M1049" s="18" t="s">
        <v>343</v>
      </c>
      <c r="N1049" t="s">
        <v>1317</v>
      </c>
      <c r="O1049" t="s">
        <v>1395</v>
      </c>
      <c r="P1049" s="1" t="s">
        <v>30</v>
      </c>
      <c r="Q1049" s="13" t="s">
        <v>25</v>
      </c>
      <c r="R1049">
        <v>3</v>
      </c>
      <c r="S1049">
        <v>5000</v>
      </c>
      <c r="T1049"/>
      <c r="U1049" s="9"/>
      <c r="V1049" s="9"/>
      <c r="W1049" s="9"/>
      <c r="X1049" s="9"/>
    </row>
    <row r="1050" spans="1:24">
      <c r="A1050" s="13" t="s">
        <v>19</v>
      </c>
      <c r="B1050" s="1"/>
      <c r="C1050" s="1" t="s">
        <v>29</v>
      </c>
      <c r="D1050" s="3">
        <v>10000</v>
      </c>
      <c r="E1050"/>
      <c r="F1050"/>
      <c r="G1050"/>
      <c r="H1050"/>
      <c r="I1050"/>
      <c r="J1050"/>
      <c r="K1050"/>
      <c r="L1050"/>
      <c r="M1050" s="18" t="s">
        <v>343</v>
      </c>
      <c r="N1050" t="s">
        <v>1317</v>
      </c>
      <c r="O1050" t="s">
        <v>1395</v>
      </c>
      <c r="P1050" s="1" t="s">
        <v>30</v>
      </c>
      <c r="Q1050" s="13" t="s">
        <v>25</v>
      </c>
      <c r="R1050">
        <v>2</v>
      </c>
      <c r="S1050">
        <v>5000</v>
      </c>
      <c r="T1050"/>
      <c r="U1050" s="9"/>
      <c r="V1050" s="9"/>
      <c r="W1050" s="9"/>
      <c r="X1050" s="9"/>
    </row>
    <row r="1051" spans="1:24">
      <c r="A1051" s="13" t="s">
        <v>19</v>
      </c>
      <c r="B1051" s="1"/>
      <c r="C1051" s="1" t="s">
        <v>32</v>
      </c>
      <c r="D1051" s="3">
        <v>10000</v>
      </c>
      <c r="E1051"/>
      <c r="F1051"/>
      <c r="G1051"/>
      <c r="H1051"/>
      <c r="I1051"/>
      <c r="J1051"/>
      <c r="K1051"/>
      <c r="L1051"/>
      <c r="M1051" s="18" t="s">
        <v>343</v>
      </c>
      <c r="N1051" t="s">
        <v>1317</v>
      </c>
      <c r="O1051" t="s">
        <v>1395</v>
      </c>
      <c r="P1051" s="1" t="s">
        <v>515</v>
      </c>
      <c r="Q1051" s="13" t="s">
        <v>25</v>
      </c>
      <c r="R1051">
        <v>2</v>
      </c>
      <c r="S1051">
        <v>5000</v>
      </c>
      <c r="T1051"/>
      <c r="U1051" s="9"/>
      <c r="V1051" s="9"/>
      <c r="W1051" s="9"/>
      <c r="X1051" s="9"/>
    </row>
    <row r="1052" spans="1:24">
      <c r="A1052" s="13" t="s">
        <v>19</v>
      </c>
      <c r="B1052" s="1"/>
      <c r="C1052" s="1" t="s">
        <v>32</v>
      </c>
      <c r="D1052" s="3">
        <v>10000</v>
      </c>
      <c r="E1052"/>
      <c r="F1052"/>
      <c r="G1052"/>
      <c r="H1052"/>
      <c r="I1052"/>
      <c r="J1052"/>
      <c r="K1052"/>
      <c r="L1052"/>
      <c r="M1052" s="18" t="s">
        <v>343</v>
      </c>
      <c r="N1052" t="s">
        <v>1317</v>
      </c>
      <c r="O1052" t="s">
        <v>1395</v>
      </c>
      <c r="P1052" s="1" t="s">
        <v>653</v>
      </c>
      <c r="Q1052" s="13" t="s">
        <v>25</v>
      </c>
      <c r="R1052">
        <v>2</v>
      </c>
      <c r="S1052">
        <v>5000</v>
      </c>
      <c r="T1052"/>
      <c r="U1052" s="9"/>
      <c r="V1052" s="9"/>
      <c r="W1052" s="9"/>
      <c r="X1052" s="9"/>
    </row>
    <row r="1053" spans="1:24">
      <c r="A1053" s="13" t="s">
        <v>19</v>
      </c>
      <c r="B1053" s="1"/>
      <c r="C1053" s="1" t="s">
        <v>32</v>
      </c>
      <c r="D1053" s="3">
        <v>10000</v>
      </c>
      <c r="E1053"/>
      <c r="F1053"/>
      <c r="G1053"/>
      <c r="H1053"/>
      <c r="I1053"/>
      <c r="J1053"/>
      <c r="K1053"/>
      <c r="L1053"/>
      <c r="M1053" s="18" t="s">
        <v>343</v>
      </c>
      <c r="N1053" t="s">
        <v>1317</v>
      </c>
      <c r="O1053" t="s">
        <v>1395</v>
      </c>
      <c r="P1053" s="1" t="s">
        <v>654</v>
      </c>
      <c r="Q1053" s="13" t="s">
        <v>25</v>
      </c>
      <c r="R1053">
        <v>2</v>
      </c>
      <c r="S1053">
        <v>5000</v>
      </c>
      <c r="T1053"/>
      <c r="U1053" s="9"/>
      <c r="V1053" s="9"/>
      <c r="W1053" s="9"/>
      <c r="X1053" s="9"/>
    </row>
    <row r="1054" spans="1:24">
      <c r="A1054" s="13"/>
      <c r="B1054" s="1"/>
      <c r="C1054" s="1"/>
      <c r="D1054" s="3" t="str">
        <f>SUBTOTAL(9,D1044:D1053)</f>
        <v>0</v>
      </c>
      <c r="E1054"/>
      <c r="F1054"/>
      <c r="G1054"/>
      <c r="H1054"/>
      <c r="I1054"/>
      <c r="J1054"/>
      <c r="K1054"/>
      <c r="L1054"/>
      <c r="M1054" s="18" t="s">
        <v>344</v>
      </c>
      <c r="N1054" t="s">
        <v>1517</v>
      </c>
      <c r="O1054" t="s">
        <v>1395</v>
      </c>
      <c r="P1054" s="1"/>
      <c r="Q1054" s="13"/>
      <c r="R1054"/>
      <c r="S1054"/>
      <c r="T1054"/>
      <c r="U1054" s="9"/>
      <c r="V1054" s="9"/>
      <c r="W1054" s="9"/>
      <c r="X1054" s="9"/>
    </row>
    <row r="1055" spans="1:24">
      <c r="A1055" s="13" t="s">
        <v>19</v>
      </c>
      <c r="B1055" s="1"/>
      <c r="C1055" s="1" t="s">
        <v>26</v>
      </c>
      <c r="D1055" s="3">
        <v>32000</v>
      </c>
      <c r="E1055"/>
      <c r="F1055"/>
      <c r="G1055"/>
      <c r="H1055"/>
      <c r="I1055"/>
      <c r="J1055"/>
      <c r="K1055"/>
      <c r="L1055"/>
      <c r="M1055" s="18" t="s">
        <v>345</v>
      </c>
      <c r="N1055" t="s">
        <v>1322</v>
      </c>
      <c r="O1055" t="s">
        <v>1395</v>
      </c>
      <c r="P1055" s="1" t="s">
        <v>512</v>
      </c>
      <c r="Q1055" s="13" t="s">
        <v>25</v>
      </c>
      <c r="R1055">
        <v>1</v>
      </c>
      <c r="S1055">
        <v>32000</v>
      </c>
      <c r="T1055"/>
      <c r="U1055" s="9"/>
      <c r="V1055" s="9"/>
      <c r="W1055" s="9"/>
      <c r="X1055" s="9"/>
    </row>
    <row r="1056" spans="1:24">
      <c r="A1056" s="13" t="s">
        <v>19</v>
      </c>
      <c r="B1056" s="1"/>
      <c r="C1056" s="1" t="s">
        <v>26</v>
      </c>
      <c r="D1056" s="3">
        <v>37000</v>
      </c>
      <c r="E1056"/>
      <c r="F1056"/>
      <c r="G1056"/>
      <c r="H1056"/>
      <c r="I1056"/>
      <c r="J1056"/>
      <c r="K1056"/>
      <c r="L1056"/>
      <c r="M1056" s="18" t="s">
        <v>345</v>
      </c>
      <c r="N1056" t="s">
        <v>1322</v>
      </c>
      <c r="O1056" t="s">
        <v>1395</v>
      </c>
      <c r="P1056" s="1" t="s">
        <v>830</v>
      </c>
      <c r="Q1056" s="13" t="s">
        <v>25</v>
      </c>
      <c r="R1056">
        <v>1</v>
      </c>
      <c r="S1056">
        <v>37000</v>
      </c>
      <c r="T1056"/>
      <c r="U1056" s="9"/>
      <c r="V1056" s="9"/>
      <c r="W1056" s="9"/>
      <c r="X1056" s="9"/>
    </row>
    <row r="1057" spans="1:24">
      <c r="A1057" s="13" t="s">
        <v>19</v>
      </c>
      <c r="B1057" s="1"/>
      <c r="C1057" s="1" t="s">
        <v>26</v>
      </c>
      <c r="D1057" s="3">
        <v>37000</v>
      </c>
      <c r="E1057"/>
      <c r="F1057"/>
      <c r="G1057"/>
      <c r="H1057"/>
      <c r="I1057"/>
      <c r="J1057"/>
      <c r="K1057"/>
      <c r="L1057"/>
      <c r="M1057" s="18" t="s">
        <v>345</v>
      </c>
      <c r="N1057" t="s">
        <v>1322</v>
      </c>
      <c r="O1057" t="s">
        <v>1395</v>
      </c>
      <c r="P1057" s="1" t="s">
        <v>831</v>
      </c>
      <c r="Q1057" s="13" t="s">
        <v>25</v>
      </c>
      <c r="R1057">
        <v>1</v>
      </c>
      <c r="S1057">
        <v>37000</v>
      </c>
      <c r="T1057"/>
      <c r="U1057" s="9"/>
      <c r="V1057" s="9"/>
      <c r="W1057" s="9"/>
      <c r="X1057" s="9"/>
    </row>
    <row r="1058" spans="1:24">
      <c r="A1058" s="13" t="s">
        <v>19</v>
      </c>
      <c r="B1058" s="1"/>
      <c r="C1058" s="1" t="s">
        <v>26</v>
      </c>
      <c r="D1058" s="3">
        <v>37000</v>
      </c>
      <c r="E1058"/>
      <c r="F1058"/>
      <c r="G1058"/>
      <c r="H1058"/>
      <c r="I1058"/>
      <c r="J1058"/>
      <c r="K1058"/>
      <c r="L1058"/>
      <c r="M1058" s="18" t="s">
        <v>345</v>
      </c>
      <c r="N1058" t="s">
        <v>1322</v>
      </c>
      <c r="O1058" t="s">
        <v>1395</v>
      </c>
      <c r="P1058" s="1" t="s">
        <v>832</v>
      </c>
      <c r="Q1058" s="13" t="s">
        <v>25</v>
      </c>
      <c r="R1058">
        <v>1</v>
      </c>
      <c r="S1058">
        <v>37000</v>
      </c>
      <c r="T1058"/>
      <c r="U1058" s="9"/>
      <c r="V1058" s="9"/>
      <c r="W1058" s="9"/>
      <c r="X1058" s="9"/>
    </row>
    <row r="1059" spans="1:24">
      <c r="A1059" s="13" t="s">
        <v>19</v>
      </c>
      <c r="B1059" s="1"/>
      <c r="C1059" s="1" t="s">
        <v>32</v>
      </c>
      <c r="D1059" s="3">
        <v>5000</v>
      </c>
      <c r="E1059"/>
      <c r="F1059"/>
      <c r="G1059"/>
      <c r="H1059"/>
      <c r="I1059"/>
      <c r="J1059"/>
      <c r="K1059"/>
      <c r="L1059"/>
      <c r="M1059" s="18" t="s">
        <v>345</v>
      </c>
      <c r="N1059" t="s">
        <v>1322</v>
      </c>
      <c r="O1059" t="s">
        <v>1395</v>
      </c>
      <c r="P1059" s="1" t="s">
        <v>515</v>
      </c>
      <c r="Q1059" s="13" t="s">
        <v>25</v>
      </c>
      <c r="R1059">
        <v>1</v>
      </c>
      <c r="S1059">
        <v>5000</v>
      </c>
      <c r="T1059"/>
      <c r="U1059" s="9"/>
      <c r="V1059" s="9"/>
      <c r="W1059" s="9"/>
      <c r="X1059" s="9"/>
    </row>
    <row r="1060" spans="1:24">
      <c r="A1060" s="13" t="s">
        <v>19</v>
      </c>
      <c r="B1060" s="1"/>
      <c r="C1060" s="1" t="s">
        <v>32</v>
      </c>
      <c r="D1060" s="3">
        <v>5000</v>
      </c>
      <c r="E1060"/>
      <c r="F1060"/>
      <c r="G1060"/>
      <c r="H1060"/>
      <c r="I1060"/>
      <c r="J1060"/>
      <c r="K1060"/>
      <c r="L1060"/>
      <c r="M1060" s="18" t="s">
        <v>345</v>
      </c>
      <c r="N1060" t="s">
        <v>1322</v>
      </c>
      <c r="O1060" t="s">
        <v>1395</v>
      </c>
      <c r="P1060" s="1" t="s">
        <v>833</v>
      </c>
      <c r="Q1060" s="13" t="s">
        <v>25</v>
      </c>
      <c r="R1060">
        <v>1</v>
      </c>
      <c r="S1060">
        <v>5000</v>
      </c>
      <c r="T1060"/>
      <c r="U1060" s="9"/>
      <c r="V1060" s="9"/>
      <c r="W1060" s="9"/>
      <c r="X1060" s="9"/>
    </row>
    <row r="1061" spans="1:24">
      <c r="A1061" s="13" t="s">
        <v>19</v>
      </c>
      <c r="B1061" s="1"/>
      <c r="C1061" s="1" t="s">
        <v>32</v>
      </c>
      <c r="D1061" s="3">
        <v>5000</v>
      </c>
      <c r="E1061"/>
      <c r="F1061"/>
      <c r="G1061"/>
      <c r="H1061"/>
      <c r="I1061"/>
      <c r="J1061"/>
      <c r="K1061"/>
      <c r="L1061"/>
      <c r="M1061" s="18" t="s">
        <v>345</v>
      </c>
      <c r="N1061" t="s">
        <v>1322</v>
      </c>
      <c r="O1061" t="s">
        <v>1395</v>
      </c>
      <c r="P1061" s="1" t="s">
        <v>834</v>
      </c>
      <c r="Q1061" s="13" t="s">
        <v>25</v>
      </c>
      <c r="R1061">
        <v>1</v>
      </c>
      <c r="S1061">
        <v>5000</v>
      </c>
      <c r="T1061"/>
      <c r="U1061" s="9"/>
      <c r="V1061" s="9"/>
      <c r="W1061" s="9"/>
      <c r="X1061" s="9"/>
    </row>
    <row r="1062" spans="1:24">
      <c r="A1062" s="13" t="s">
        <v>19</v>
      </c>
      <c r="B1062" s="1"/>
      <c r="C1062" s="1" t="s">
        <v>32</v>
      </c>
      <c r="D1062" s="3">
        <v>5000</v>
      </c>
      <c r="E1062"/>
      <c r="F1062"/>
      <c r="G1062"/>
      <c r="H1062"/>
      <c r="I1062"/>
      <c r="J1062"/>
      <c r="K1062"/>
      <c r="L1062"/>
      <c r="M1062" s="18" t="s">
        <v>345</v>
      </c>
      <c r="N1062" t="s">
        <v>1322</v>
      </c>
      <c r="O1062" t="s">
        <v>1395</v>
      </c>
      <c r="P1062" s="1" t="s">
        <v>835</v>
      </c>
      <c r="Q1062" s="13" t="s">
        <v>25</v>
      </c>
      <c r="R1062">
        <v>1</v>
      </c>
      <c r="S1062">
        <v>5000</v>
      </c>
      <c r="T1062"/>
      <c r="U1062" s="9"/>
      <c r="V1062" s="9"/>
      <c r="W1062" s="9"/>
      <c r="X1062" s="9"/>
    </row>
    <row r="1063" spans="1:24">
      <c r="A1063" s="13"/>
      <c r="B1063" s="1"/>
      <c r="C1063" s="1"/>
      <c r="D1063" s="3" t="str">
        <f>SUBTOTAL(9,D1055:D1062)</f>
        <v>0</v>
      </c>
      <c r="E1063"/>
      <c r="F1063"/>
      <c r="G1063"/>
      <c r="H1063"/>
      <c r="I1063"/>
      <c r="J1063"/>
      <c r="K1063"/>
      <c r="L1063"/>
      <c r="M1063" s="18" t="s">
        <v>346</v>
      </c>
      <c r="N1063" t="s">
        <v>1518</v>
      </c>
      <c r="O1063" t="s">
        <v>1395</v>
      </c>
      <c r="P1063" s="1"/>
      <c r="Q1063" s="13"/>
      <c r="R1063"/>
      <c r="S1063"/>
      <c r="T1063"/>
      <c r="U1063" s="9"/>
      <c r="V1063" s="9"/>
      <c r="W1063" s="9"/>
      <c r="X1063" s="9"/>
    </row>
    <row r="1064" spans="1:24">
      <c r="A1064" s="13" t="s">
        <v>19</v>
      </c>
      <c r="B1064" s="1"/>
      <c r="C1064" s="1" t="s">
        <v>20</v>
      </c>
      <c r="D1064" s="3">
        <v>60000</v>
      </c>
      <c r="E1064"/>
      <c r="F1064"/>
      <c r="G1064"/>
      <c r="H1064"/>
      <c r="I1064"/>
      <c r="J1064"/>
      <c r="K1064"/>
      <c r="L1064"/>
      <c r="M1064" s="18" t="s">
        <v>347</v>
      </c>
      <c r="N1064" t="s">
        <v>1323</v>
      </c>
      <c r="O1064" t="s">
        <v>1395</v>
      </c>
      <c r="P1064" s="1" t="s">
        <v>836</v>
      </c>
      <c r="Q1064" s="13" t="s">
        <v>1018</v>
      </c>
      <c r="R1064">
        <v>2</v>
      </c>
      <c r="S1064">
        <v>30000</v>
      </c>
      <c r="T1064"/>
      <c r="U1064" s="9"/>
      <c r="V1064" s="9"/>
      <c r="W1064" s="9"/>
      <c r="X1064" s="9"/>
    </row>
    <row r="1065" spans="1:24">
      <c r="A1065" s="13" t="s">
        <v>19</v>
      </c>
      <c r="B1065" s="1"/>
      <c r="C1065" s="1" t="s">
        <v>20</v>
      </c>
      <c r="D1065" s="3">
        <v>60000</v>
      </c>
      <c r="E1065"/>
      <c r="F1065"/>
      <c r="G1065"/>
      <c r="H1065"/>
      <c r="I1065"/>
      <c r="J1065"/>
      <c r="K1065"/>
      <c r="L1065"/>
      <c r="M1065" s="18" t="s">
        <v>347</v>
      </c>
      <c r="N1065" t="s">
        <v>1323</v>
      </c>
      <c r="O1065" t="s">
        <v>1395</v>
      </c>
      <c r="P1065" s="1" t="s">
        <v>581</v>
      </c>
      <c r="Q1065" s="13" t="s">
        <v>1018</v>
      </c>
      <c r="R1065">
        <v>2</v>
      </c>
      <c r="S1065">
        <v>30000</v>
      </c>
      <c r="T1065"/>
      <c r="U1065" s="9"/>
      <c r="V1065" s="9"/>
      <c r="W1065" s="9"/>
      <c r="X1065" s="9"/>
    </row>
    <row r="1066" spans="1:24">
      <c r="A1066" s="13" t="s">
        <v>19</v>
      </c>
      <c r="B1066" s="1"/>
      <c r="C1066" s="1" t="s">
        <v>20</v>
      </c>
      <c r="D1066" s="3">
        <v>60000</v>
      </c>
      <c r="E1066"/>
      <c r="F1066"/>
      <c r="G1066"/>
      <c r="H1066"/>
      <c r="I1066"/>
      <c r="J1066"/>
      <c r="K1066"/>
      <c r="L1066"/>
      <c r="M1066" s="18" t="s">
        <v>347</v>
      </c>
      <c r="N1066" t="s">
        <v>1323</v>
      </c>
      <c r="O1066" t="s">
        <v>1395</v>
      </c>
      <c r="P1066" s="1" t="s">
        <v>837</v>
      </c>
      <c r="Q1066" s="13" t="s">
        <v>1018</v>
      </c>
      <c r="R1066">
        <v>2</v>
      </c>
      <c r="S1066">
        <v>30000</v>
      </c>
      <c r="T1066"/>
      <c r="U1066" s="9"/>
      <c r="V1066" s="9"/>
      <c r="W1066" s="9"/>
      <c r="X1066" s="9"/>
    </row>
    <row r="1067" spans="1:24">
      <c r="A1067" s="13" t="s">
        <v>19</v>
      </c>
      <c r="B1067" s="1"/>
      <c r="C1067" s="1" t="s">
        <v>20</v>
      </c>
      <c r="D1067" s="3">
        <v>32000</v>
      </c>
      <c r="E1067"/>
      <c r="F1067"/>
      <c r="G1067"/>
      <c r="H1067"/>
      <c r="I1067"/>
      <c r="J1067"/>
      <c r="K1067"/>
      <c r="L1067"/>
      <c r="M1067" s="18" t="s">
        <v>347</v>
      </c>
      <c r="N1067" t="s">
        <v>1323</v>
      </c>
      <c r="O1067" t="s">
        <v>1395</v>
      </c>
      <c r="P1067" s="1" t="s">
        <v>819</v>
      </c>
      <c r="Q1067" s="13" t="s">
        <v>1018</v>
      </c>
      <c r="R1067">
        <v>1</v>
      </c>
      <c r="S1067">
        <v>32000</v>
      </c>
      <c r="T1067"/>
      <c r="U1067" s="9"/>
      <c r="V1067" s="9"/>
      <c r="W1067" s="9"/>
      <c r="X1067" s="9"/>
    </row>
    <row r="1068" spans="1:24">
      <c r="A1068" s="13" t="s">
        <v>19</v>
      </c>
      <c r="B1068" s="1"/>
      <c r="C1068" s="1" t="s">
        <v>26</v>
      </c>
      <c r="D1068" s="3">
        <v>64000</v>
      </c>
      <c r="E1068"/>
      <c r="F1068"/>
      <c r="G1068"/>
      <c r="H1068"/>
      <c r="I1068"/>
      <c r="J1068"/>
      <c r="K1068"/>
      <c r="L1068"/>
      <c r="M1068" s="18" t="s">
        <v>347</v>
      </c>
      <c r="N1068" t="s">
        <v>1323</v>
      </c>
      <c r="O1068" t="s">
        <v>1395</v>
      </c>
      <c r="P1068" s="1" t="s">
        <v>838</v>
      </c>
      <c r="Q1068" s="13" t="s">
        <v>1018</v>
      </c>
      <c r="R1068">
        <v>2</v>
      </c>
      <c r="S1068">
        <v>32000</v>
      </c>
      <c r="T1068"/>
      <c r="U1068" s="9"/>
      <c r="V1068" s="9"/>
      <c r="W1068" s="9"/>
      <c r="X1068" s="9"/>
    </row>
    <row r="1069" spans="1:24">
      <c r="A1069" s="13" t="s">
        <v>19</v>
      </c>
      <c r="B1069" s="1"/>
      <c r="C1069" s="1" t="s">
        <v>29</v>
      </c>
      <c r="D1069" s="3">
        <v>14000</v>
      </c>
      <c r="E1069"/>
      <c r="F1069"/>
      <c r="G1069"/>
      <c r="H1069"/>
      <c r="I1069"/>
      <c r="J1069"/>
      <c r="K1069"/>
      <c r="L1069"/>
      <c r="M1069" s="18" t="s">
        <v>347</v>
      </c>
      <c r="N1069" t="s">
        <v>1323</v>
      </c>
      <c r="O1069" t="s">
        <v>1395</v>
      </c>
      <c r="P1069" s="1" t="s">
        <v>839</v>
      </c>
      <c r="Q1069" s="13" t="s">
        <v>1018</v>
      </c>
      <c r="R1069">
        <v>2</v>
      </c>
      <c r="S1069">
        <v>7000</v>
      </c>
      <c r="T1069"/>
      <c r="U1069" s="9"/>
      <c r="V1069" s="9"/>
      <c r="W1069" s="9"/>
      <c r="X1069" s="9"/>
    </row>
    <row r="1070" spans="1:24">
      <c r="A1070" s="13" t="s">
        <v>19</v>
      </c>
      <c r="B1070" s="1"/>
      <c r="C1070" s="1" t="s">
        <v>29</v>
      </c>
      <c r="D1070" s="3">
        <v>14000</v>
      </c>
      <c r="E1070"/>
      <c r="F1070"/>
      <c r="G1070"/>
      <c r="H1070"/>
      <c r="I1070"/>
      <c r="J1070"/>
      <c r="K1070"/>
      <c r="L1070"/>
      <c r="M1070" s="18" t="s">
        <v>347</v>
      </c>
      <c r="N1070" t="s">
        <v>1323</v>
      </c>
      <c r="O1070" t="s">
        <v>1395</v>
      </c>
      <c r="P1070" s="1" t="s">
        <v>592</v>
      </c>
      <c r="Q1070" s="13" t="s">
        <v>1018</v>
      </c>
      <c r="R1070">
        <v>2</v>
      </c>
      <c r="S1070">
        <v>7000</v>
      </c>
      <c r="T1070"/>
      <c r="U1070" s="9"/>
      <c r="V1070" s="9"/>
      <c r="W1070" s="9"/>
      <c r="X1070" s="9"/>
    </row>
    <row r="1071" spans="1:24">
      <c r="A1071" s="13" t="s">
        <v>19</v>
      </c>
      <c r="B1071" s="1"/>
      <c r="C1071" s="1" t="s">
        <v>29</v>
      </c>
      <c r="D1071" s="3">
        <v>14000</v>
      </c>
      <c r="E1071"/>
      <c r="F1071"/>
      <c r="G1071"/>
      <c r="H1071"/>
      <c r="I1071"/>
      <c r="J1071"/>
      <c r="K1071"/>
      <c r="L1071"/>
      <c r="M1071" s="18" t="s">
        <v>347</v>
      </c>
      <c r="N1071" t="s">
        <v>1323</v>
      </c>
      <c r="O1071" t="s">
        <v>1395</v>
      </c>
      <c r="P1071" s="1" t="s">
        <v>840</v>
      </c>
      <c r="Q1071" s="13" t="s">
        <v>1018</v>
      </c>
      <c r="R1071">
        <v>2</v>
      </c>
      <c r="S1071">
        <v>7000</v>
      </c>
      <c r="T1071"/>
      <c r="U1071" s="9"/>
      <c r="V1071" s="9"/>
      <c r="W1071" s="9"/>
      <c r="X1071" s="9"/>
    </row>
    <row r="1072" spans="1:24">
      <c r="A1072" s="13" t="s">
        <v>19</v>
      </c>
      <c r="B1072" s="1"/>
      <c r="C1072" s="1" t="s">
        <v>29</v>
      </c>
      <c r="D1072" s="3">
        <v>5000</v>
      </c>
      <c r="E1072"/>
      <c r="F1072"/>
      <c r="G1072"/>
      <c r="H1072"/>
      <c r="I1072"/>
      <c r="J1072"/>
      <c r="K1072"/>
      <c r="L1072"/>
      <c r="M1072" s="18" t="s">
        <v>347</v>
      </c>
      <c r="N1072" t="s">
        <v>1323</v>
      </c>
      <c r="O1072" t="s">
        <v>1395</v>
      </c>
      <c r="P1072" s="1" t="s">
        <v>823</v>
      </c>
      <c r="Q1072" s="13" t="s">
        <v>1018</v>
      </c>
      <c r="R1072">
        <v>1</v>
      </c>
      <c r="S1072">
        <v>5000</v>
      </c>
      <c r="T1072"/>
      <c r="U1072" s="9"/>
      <c r="V1072" s="9"/>
      <c r="W1072" s="9"/>
      <c r="X1072" s="9"/>
    </row>
    <row r="1073" spans="1:24">
      <c r="A1073" s="13" t="s">
        <v>19</v>
      </c>
      <c r="B1073" s="1"/>
      <c r="C1073" s="1" t="s">
        <v>32</v>
      </c>
      <c r="D1073" s="3">
        <v>10000</v>
      </c>
      <c r="E1073"/>
      <c r="F1073"/>
      <c r="G1073"/>
      <c r="H1073"/>
      <c r="I1073"/>
      <c r="J1073"/>
      <c r="K1073"/>
      <c r="L1073"/>
      <c r="M1073" s="18" t="s">
        <v>347</v>
      </c>
      <c r="N1073" t="s">
        <v>1323</v>
      </c>
      <c r="O1073" t="s">
        <v>1395</v>
      </c>
      <c r="P1073" s="1" t="s">
        <v>841</v>
      </c>
      <c r="Q1073" s="13" t="s">
        <v>1018</v>
      </c>
      <c r="R1073">
        <v>2</v>
      </c>
      <c r="S1073">
        <v>5000</v>
      </c>
      <c r="T1073"/>
      <c r="U1073" s="9"/>
      <c r="V1073" s="9"/>
      <c r="W1073" s="9"/>
      <c r="X1073" s="9"/>
    </row>
    <row r="1074" spans="1:24">
      <c r="A1074" s="13"/>
      <c r="B1074" s="1"/>
      <c r="C1074" s="1"/>
      <c r="D1074" s="3" t="str">
        <f>SUBTOTAL(9,D1064:D1073)</f>
        <v>0</v>
      </c>
      <c r="E1074"/>
      <c r="F1074"/>
      <c r="G1074"/>
      <c r="H1074"/>
      <c r="I1074"/>
      <c r="J1074"/>
      <c r="K1074"/>
      <c r="L1074"/>
      <c r="M1074" s="18" t="s">
        <v>348</v>
      </c>
      <c r="N1074" t="s">
        <v>1519</v>
      </c>
      <c r="O1074" t="s">
        <v>1395</v>
      </c>
      <c r="P1074" s="1"/>
      <c r="Q1074" s="13"/>
      <c r="R1074"/>
      <c r="S1074"/>
      <c r="T1074"/>
      <c r="U1074" s="9"/>
      <c r="V1074" s="9"/>
      <c r="W1074" s="9"/>
      <c r="X1074" s="9"/>
    </row>
    <row r="1075" spans="1:24">
      <c r="A1075" s="13" t="s">
        <v>19</v>
      </c>
      <c r="B1075" s="1"/>
      <c r="C1075" s="1" t="s">
        <v>20</v>
      </c>
      <c r="D1075" s="3">
        <v>64000</v>
      </c>
      <c r="E1075"/>
      <c r="F1075"/>
      <c r="G1075"/>
      <c r="H1075"/>
      <c r="I1075"/>
      <c r="J1075"/>
      <c r="K1075"/>
      <c r="L1075"/>
      <c r="M1075" s="18" t="s">
        <v>349</v>
      </c>
      <c r="N1075" t="s">
        <v>1194</v>
      </c>
      <c r="O1075" t="s">
        <v>98</v>
      </c>
      <c r="P1075" s="1" t="s">
        <v>24</v>
      </c>
      <c r="Q1075" s="13" t="s">
        <v>25</v>
      </c>
      <c r="R1075">
        <v>2</v>
      </c>
      <c r="S1075">
        <v>32000</v>
      </c>
      <c r="T1075"/>
      <c r="U1075" s="9"/>
      <c r="V1075" s="9"/>
      <c r="W1075" s="9"/>
      <c r="X1075" s="9"/>
    </row>
    <row r="1076" spans="1:24">
      <c r="A1076" s="13" t="s">
        <v>19</v>
      </c>
      <c r="B1076" s="1"/>
      <c r="C1076" s="1" t="s">
        <v>20</v>
      </c>
      <c r="D1076" s="3">
        <v>128000</v>
      </c>
      <c r="E1076"/>
      <c r="F1076"/>
      <c r="G1076"/>
      <c r="H1076"/>
      <c r="I1076"/>
      <c r="J1076"/>
      <c r="K1076"/>
      <c r="L1076"/>
      <c r="M1076" s="18" t="s">
        <v>349</v>
      </c>
      <c r="N1076" t="s">
        <v>1194</v>
      </c>
      <c r="O1076" t="s">
        <v>98</v>
      </c>
      <c r="P1076" s="1" t="s">
        <v>24</v>
      </c>
      <c r="Q1076" s="13" t="s">
        <v>25</v>
      </c>
      <c r="R1076">
        <v>4</v>
      </c>
      <c r="S1076">
        <v>32000</v>
      </c>
      <c r="T1076"/>
      <c r="U1076" s="9"/>
      <c r="V1076" s="9"/>
      <c r="W1076" s="9"/>
      <c r="X1076" s="9"/>
    </row>
    <row r="1077" spans="1:24">
      <c r="A1077" s="13" t="s">
        <v>19</v>
      </c>
      <c r="B1077" s="1"/>
      <c r="C1077" s="1" t="s">
        <v>29</v>
      </c>
      <c r="D1077" s="3">
        <v>10000</v>
      </c>
      <c r="E1077"/>
      <c r="F1077"/>
      <c r="G1077"/>
      <c r="H1077"/>
      <c r="I1077"/>
      <c r="J1077"/>
      <c r="K1077"/>
      <c r="L1077"/>
      <c r="M1077" s="18" t="s">
        <v>349</v>
      </c>
      <c r="N1077" t="s">
        <v>1194</v>
      </c>
      <c r="O1077" t="s">
        <v>98</v>
      </c>
      <c r="P1077" s="1" t="s">
        <v>30</v>
      </c>
      <c r="Q1077" s="13" t="s">
        <v>25</v>
      </c>
      <c r="R1077">
        <v>2</v>
      </c>
      <c r="S1077">
        <v>5000</v>
      </c>
      <c r="T1077"/>
      <c r="U1077" s="9"/>
      <c r="V1077" s="9"/>
      <c r="W1077" s="9"/>
      <c r="X1077" s="9"/>
    </row>
    <row r="1078" spans="1:24">
      <c r="A1078" s="13" t="s">
        <v>19</v>
      </c>
      <c r="B1078" s="1"/>
      <c r="C1078" s="1" t="s">
        <v>29</v>
      </c>
      <c r="D1078" s="3">
        <v>20000</v>
      </c>
      <c r="E1078"/>
      <c r="F1078"/>
      <c r="G1078"/>
      <c r="H1078"/>
      <c r="I1078"/>
      <c r="J1078"/>
      <c r="K1078"/>
      <c r="L1078"/>
      <c r="M1078" s="18" t="s">
        <v>349</v>
      </c>
      <c r="N1078" t="s">
        <v>1194</v>
      </c>
      <c r="O1078" t="s">
        <v>98</v>
      </c>
      <c r="P1078" s="1" t="s">
        <v>30</v>
      </c>
      <c r="Q1078" s="13" t="s">
        <v>25</v>
      </c>
      <c r="R1078">
        <v>4</v>
      </c>
      <c r="S1078">
        <v>5000</v>
      </c>
      <c r="T1078"/>
      <c r="U1078" s="9"/>
      <c r="V1078" s="9"/>
      <c r="W1078" s="9"/>
      <c r="X1078" s="9"/>
    </row>
    <row r="1079" spans="1:24">
      <c r="A1079" s="13"/>
      <c r="B1079" s="1"/>
      <c r="C1079" s="1"/>
      <c r="D1079" s="3" t="str">
        <f>SUBTOTAL(9,D1075:D1078)</f>
        <v>0</v>
      </c>
      <c r="E1079"/>
      <c r="F1079"/>
      <c r="G1079"/>
      <c r="H1079"/>
      <c r="I1079"/>
      <c r="J1079"/>
      <c r="K1079"/>
      <c r="L1079"/>
      <c r="M1079" s="18" t="s">
        <v>350</v>
      </c>
      <c r="N1079" t="s">
        <v>1520</v>
      </c>
      <c r="O1079" t="s">
        <v>98</v>
      </c>
      <c r="P1079" s="1"/>
      <c r="Q1079" s="13"/>
      <c r="R1079"/>
      <c r="S1079"/>
      <c r="T1079"/>
      <c r="U1079" s="9"/>
      <c r="V1079" s="9"/>
      <c r="W1079" s="9"/>
      <c r="X1079" s="9"/>
    </row>
    <row r="1080" spans="1:24">
      <c r="A1080" s="13" t="s">
        <v>19</v>
      </c>
      <c r="B1080" s="1"/>
      <c r="C1080" s="1" t="s">
        <v>20</v>
      </c>
      <c r="D1080" s="3">
        <v>90000</v>
      </c>
      <c r="E1080"/>
      <c r="F1080"/>
      <c r="G1080"/>
      <c r="H1080"/>
      <c r="I1080"/>
      <c r="J1080"/>
      <c r="K1080"/>
      <c r="L1080"/>
      <c r="M1080" s="18" t="s">
        <v>351</v>
      </c>
      <c r="N1080" t="s">
        <v>1261</v>
      </c>
      <c r="O1080" t="s">
        <v>1395</v>
      </c>
      <c r="P1080" s="1" t="s">
        <v>24</v>
      </c>
      <c r="Q1080" s="13" t="s">
        <v>25</v>
      </c>
      <c r="R1080">
        <v>3</v>
      </c>
      <c r="S1080">
        <v>30000</v>
      </c>
      <c r="T1080"/>
      <c r="U1080" s="9"/>
      <c r="V1080" s="9"/>
      <c r="W1080" s="9"/>
      <c r="X1080" s="9"/>
    </row>
    <row r="1081" spans="1:24">
      <c r="A1081" s="13" t="s">
        <v>19</v>
      </c>
      <c r="B1081" s="1"/>
      <c r="C1081" s="1" t="s">
        <v>20</v>
      </c>
      <c r="D1081" s="3">
        <v>32000</v>
      </c>
      <c r="E1081"/>
      <c r="F1081"/>
      <c r="G1081"/>
      <c r="H1081"/>
      <c r="I1081"/>
      <c r="J1081"/>
      <c r="K1081"/>
      <c r="L1081"/>
      <c r="M1081" s="18" t="s">
        <v>351</v>
      </c>
      <c r="N1081" t="s">
        <v>1261</v>
      </c>
      <c r="O1081" t="s">
        <v>1395</v>
      </c>
      <c r="P1081" s="1" t="s">
        <v>24</v>
      </c>
      <c r="Q1081" s="13" t="s">
        <v>25</v>
      </c>
      <c r="R1081">
        <v>1</v>
      </c>
      <c r="S1081">
        <v>32000</v>
      </c>
      <c r="T1081"/>
      <c r="U1081" s="9"/>
      <c r="V1081" s="9"/>
      <c r="W1081" s="9"/>
      <c r="X1081" s="9"/>
    </row>
    <row r="1082" spans="1:24">
      <c r="A1082" s="13" t="s">
        <v>19</v>
      </c>
      <c r="B1082" s="1"/>
      <c r="C1082" s="1" t="s">
        <v>26</v>
      </c>
      <c r="D1082" s="3">
        <v>74000</v>
      </c>
      <c r="E1082"/>
      <c r="F1082"/>
      <c r="G1082"/>
      <c r="H1082"/>
      <c r="I1082"/>
      <c r="J1082"/>
      <c r="K1082"/>
      <c r="L1082"/>
      <c r="M1082" s="18" t="s">
        <v>351</v>
      </c>
      <c r="N1082" t="s">
        <v>1261</v>
      </c>
      <c r="O1082" t="s">
        <v>1395</v>
      </c>
      <c r="P1082" s="1" t="s">
        <v>842</v>
      </c>
      <c r="Q1082" s="13" t="s">
        <v>25</v>
      </c>
      <c r="R1082">
        <v>2</v>
      </c>
      <c r="S1082">
        <v>37000</v>
      </c>
      <c r="T1082"/>
      <c r="U1082" s="9"/>
      <c r="V1082" s="9"/>
      <c r="W1082" s="9"/>
      <c r="X1082" s="9"/>
    </row>
    <row r="1083" spans="1:24">
      <c r="A1083" s="13" t="s">
        <v>19</v>
      </c>
      <c r="B1083" s="1"/>
      <c r="C1083" s="1" t="s">
        <v>29</v>
      </c>
      <c r="D1083" s="3">
        <v>21000</v>
      </c>
      <c r="E1083"/>
      <c r="F1083"/>
      <c r="G1083"/>
      <c r="H1083"/>
      <c r="I1083"/>
      <c r="J1083"/>
      <c r="K1083"/>
      <c r="L1083"/>
      <c r="M1083" s="18" t="s">
        <v>351</v>
      </c>
      <c r="N1083" t="s">
        <v>1261</v>
      </c>
      <c r="O1083" t="s">
        <v>1395</v>
      </c>
      <c r="P1083" s="1" t="s">
        <v>30</v>
      </c>
      <c r="Q1083" s="13" t="s">
        <v>25</v>
      </c>
      <c r="R1083">
        <v>3</v>
      </c>
      <c r="S1083">
        <v>7000</v>
      </c>
      <c r="T1083"/>
      <c r="U1083" s="9"/>
      <c r="V1083" s="9"/>
      <c r="W1083" s="9"/>
      <c r="X1083" s="9"/>
    </row>
    <row r="1084" spans="1:24">
      <c r="A1084" s="13" t="s">
        <v>19</v>
      </c>
      <c r="B1084" s="1"/>
      <c r="C1084" s="1" t="s">
        <v>29</v>
      </c>
      <c r="D1084" s="3">
        <v>5000</v>
      </c>
      <c r="E1084"/>
      <c r="F1084"/>
      <c r="G1084"/>
      <c r="H1084"/>
      <c r="I1084"/>
      <c r="J1084"/>
      <c r="K1084"/>
      <c r="L1084"/>
      <c r="M1084" s="18" t="s">
        <v>351</v>
      </c>
      <c r="N1084" t="s">
        <v>1261</v>
      </c>
      <c r="O1084" t="s">
        <v>1395</v>
      </c>
      <c r="P1084" s="1" t="s">
        <v>30</v>
      </c>
      <c r="Q1084" s="13" t="s">
        <v>25</v>
      </c>
      <c r="R1084">
        <v>1</v>
      </c>
      <c r="S1084">
        <v>5000</v>
      </c>
      <c r="T1084"/>
      <c r="U1084" s="9"/>
      <c r="V1084" s="9"/>
      <c r="W1084" s="9"/>
      <c r="X1084" s="9"/>
    </row>
    <row r="1085" spans="1:24">
      <c r="A1085" s="13" t="s">
        <v>19</v>
      </c>
      <c r="B1085" s="1"/>
      <c r="C1085" s="1" t="s">
        <v>32</v>
      </c>
      <c r="D1085" s="3">
        <v>10000</v>
      </c>
      <c r="E1085"/>
      <c r="F1085"/>
      <c r="G1085"/>
      <c r="H1085"/>
      <c r="I1085"/>
      <c r="J1085"/>
      <c r="K1085"/>
      <c r="L1085"/>
      <c r="M1085" s="18" t="s">
        <v>351</v>
      </c>
      <c r="N1085" t="s">
        <v>1261</v>
      </c>
      <c r="O1085" t="s">
        <v>1395</v>
      </c>
      <c r="P1085" s="1" t="s">
        <v>843</v>
      </c>
      <c r="Q1085" s="13" t="s">
        <v>25</v>
      </c>
      <c r="R1085">
        <v>2</v>
      </c>
      <c r="S1085">
        <v>5000</v>
      </c>
      <c r="T1085"/>
      <c r="U1085" s="9"/>
      <c r="V1085" s="9"/>
      <c r="W1085" s="9"/>
      <c r="X1085" s="9"/>
    </row>
    <row r="1086" spans="1:24">
      <c r="A1086" s="13"/>
      <c r="B1086" s="1"/>
      <c r="C1086" s="1"/>
      <c r="D1086" s="3" t="str">
        <f>SUBTOTAL(9,D1080:D1085)</f>
        <v>0</v>
      </c>
      <c r="E1086"/>
      <c r="F1086"/>
      <c r="G1086"/>
      <c r="H1086"/>
      <c r="I1086"/>
      <c r="J1086"/>
      <c r="K1086"/>
      <c r="L1086"/>
      <c r="M1086" s="18" t="s">
        <v>352</v>
      </c>
      <c r="N1086" t="s">
        <v>1521</v>
      </c>
      <c r="O1086" t="s">
        <v>1395</v>
      </c>
      <c r="P1086" s="1"/>
      <c r="Q1086" s="13"/>
      <c r="R1086"/>
      <c r="S1086"/>
      <c r="T1086"/>
      <c r="U1086" s="9"/>
      <c r="V1086" s="9"/>
      <c r="W1086" s="9"/>
      <c r="X1086" s="9"/>
    </row>
    <row r="1087" spans="1:24">
      <c r="A1087" s="13" t="s">
        <v>19</v>
      </c>
      <c r="B1087" s="1"/>
      <c r="C1087" s="1" t="s">
        <v>20</v>
      </c>
      <c r="D1087" s="3">
        <v>240000</v>
      </c>
      <c r="E1087"/>
      <c r="F1087"/>
      <c r="G1087"/>
      <c r="H1087"/>
      <c r="I1087"/>
      <c r="J1087"/>
      <c r="K1087"/>
      <c r="L1087"/>
      <c r="M1087" s="18" t="s">
        <v>353</v>
      </c>
      <c r="N1087" t="s">
        <v>1172</v>
      </c>
      <c r="O1087" t="s">
        <v>93</v>
      </c>
      <c r="P1087" s="1" t="s">
        <v>24</v>
      </c>
      <c r="Q1087" s="13" t="s">
        <v>1018</v>
      </c>
      <c r="R1087">
        <v>12</v>
      </c>
      <c r="S1087">
        <v>20000</v>
      </c>
      <c r="T1087"/>
      <c r="U1087" s="9"/>
      <c r="V1087" s="9"/>
      <c r="W1087" s="9"/>
      <c r="X1087" s="9"/>
    </row>
    <row r="1088" spans="1:24">
      <c r="A1088" s="13" t="s">
        <v>19</v>
      </c>
      <c r="B1088" s="1"/>
      <c r="C1088" s="1" t="s">
        <v>20</v>
      </c>
      <c r="D1088" s="3">
        <v>120000</v>
      </c>
      <c r="E1088"/>
      <c r="F1088"/>
      <c r="G1088"/>
      <c r="H1088"/>
      <c r="I1088"/>
      <c r="J1088"/>
      <c r="K1088"/>
      <c r="L1088"/>
      <c r="M1088" s="18" t="s">
        <v>353</v>
      </c>
      <c r="N1088" t="s">
        <v>1172</v>
      </c>
      <c r="O1088" t="s">
        <v>93</v>
      </c>
      <c r="P1088" s="1" t="s">
        <v>24</v>
      </c>
      <c r="Q1088" s="13" t="s">
        <v>1018</v>
      </c>
      <c r="R1088">
        <v>6</v>
      </c>
      <c r="S1088">
        <v>20000</v>
      </c>
      <c r="T1088"/>
      <c r="U1088" s="9"/>
      <c r="V1088" s="9"/>
      <c r="W1088" s="9"/>
      <c r="X1088" s="9"/>
    </row>
    <row r="1089" spans="1:24">
      <c r="A1089" s="13" t="s">
        <v>19</v>
      </c>
      <c r="B1089" s="1"/>
      <c r="C1089" s="1" t="s">
        <v>20</v>
      </c>
      <c r="D1089" s="3">
        <v>120000</v>
      </c>
      <c r="E1089"/>
      <c r="F1089"/>
      <c r="G1089"/>
      <c r="H1089"/>
      <c r="I1089"/>
      <c r="J1089"/>
      <c r="K1089"/>
      <c r="L1089"/>
      <c r="M1089" s="18" t="s">
        <v>353</v>
      </c>
      <c r="N1089" t="s">
        <v>1172</v>
      </c>
      <c r="O1089" t="s">
        <v>93</v>
      </c>
      <c r="P1089" s="1" t="s">
        <v>24</v>
      </c>
      <c r="Q1089" s="13" t="s">
        <v>1018</v>
      </c>
      <c r="R1089">
        <v>6</v>
      </c>
      <c r="S1089">
        <v>20000</v>
      </c>
      <c r="T1089"/>
      <c r="U1089" s="9"/>
      <c r="V1089" s="9"/>
      <c r="W1089" s="9"/>
      <c r="X1089" s="9"/>
    </row>
    <row r="1090" spans="1:24">
      <c r="A1090" s="13" t="s">
        <v>19</v>
      </c>
      <c r="B1090" s="1"/>
      <c r="C1090" s="1" t="s">
        <v>20</v>
      </c>
      <c r="D1090" s="3">
        <v>120000</v>
      </c>
      <c r="E1090"/>
      <c r="F1090"/>
      <c r="G1090"/>
      <c r="H1090"/>
      <c r="I1090"/>
      <c r="J1090"/>
      <c r="K1090"/>
      <c r="L1090"/>
      <c r="M1090" s="18" t="s">
        <v>353</v>
      </c>
      <c r="N1090" t="s">
        <v>1172</v>
      </c>
      <c r="O1090" t="s">
        <v>93</v>
      </c>
      <c r="P1090" s="1" t="s">
        <v>24</v>
      </c>
      <c r="Q1090" s="13" t="s">
        <v>1018</v>
      </c>
      <c r="R1090">
        <v>6</v>
      </c>
      <c r="S1090">
        <v>20000</v>
      </c>
      <c r="T1090"/>
      <c r="U1090" s="9"/>
      <c r="V1090" s="9"/>
      <c r="W1090" s="9"/>
      <c r="X1090" s="9"/>
    </row>
    <row r="1091" spans="1:24">
      <c r="A1091" s="13" t="s">
        <v>19</v>
      </c>
      <c r="B1091" s="1"/>
      <c r="C1091" s="1" t="s">
        <v>26</v>
      </c>
      <c r="D1091" s="3">
        <v>125000</v>
      </c>
      <c r="E1091"/>
      <c r="F1091"/>
      <c r="G1091"/>
      <c r="H1091"/>
      <c r="I1091"/>
      <c r="J1091"/>
      <c r="K1091"/>
      <c r="L1091"/>
      <c r="M1091" s="18" t="s">
        <v>353</v>
      </c>
      <c r="N1091" t="s">
        <v>1172</v>
      </c>
      <c r="O1091" t="s">
        <v>93</v>
      </c>
      <c r="P1091" s="1" t="s">
        <v>844</v>
      </c>
      <c r="Q1091" s="13" t="s">
        <v>1018</v>
      </c>
      <c r="R1091">
        <v>5</v>
      </c>
      <c r="S1091">
        <v>25000</v>
      </c>
      <c r="T1091"/>
      <c r="U1091" s="9"/>
      <c r="V1091" s="9"/>
      <c r="W1091" s="9"/>
      <c r="X1091" s="9"/>
    </row>
    <row r="1092" spans="1:24">
      <c r="A1092" s="13" t="s">
        <v>19</v>
      </c>
      <c r="B1092" s="1"/>
      <c r="C1092" s="1" t="s">
        <v>26</v>
      </c>
      <c r="D1092" s="3">
        <v>175000</v>
      </c>
      <c r="E1092"/>
      <c r="F1092"/>
      <c r="G1092"/>
      <c r="H1092"/>
      <c r="I1092"/>
      <c r="J1092"/>
      <c r="K1092"/>
      <c r="L1092"/>
      <c r="M1092" s="18" t="s">
        <v>353</v>
      </c>
      <c r="N1092" t="s">
        <v>1172</v>
      </c>
      <c r="O1092" t="s">
        <v>93</v>
      </c>
      <c r="P1092" s="1" t="s">
        <v>667</v>
      </c>
      <c r="Q1092" s="13" t="s">
        <v>1018</v>
      </c>
      <c r="R1092">
        <v>7</v>
      </c>
      <c r="S1092">
        <v>25000</v>
      </c>
      <c r="T1092"/>
      <c r="U1092" s="9"/>
      <c r="V1092" s="9"/>
      <c r="W1092" s="9"/>
      <c r="X1092" s="9"/>
    </row>
    <row r="1093" spans="1:24">
      <c r="A1093" s="13" t="s">
        <v>19</v>
      </c>
      <c r="B1093" s="1"/>
      <c r="C1093" s="1" t="s">
        <v>26</v>
      </c>
      <c r="D1093" s="3">
        <v>125000</v>
      </c>
      <c r="E1093"/>
      <c r="F1093"/>
      <c r="G1093"/>
      <c r="H1093"/>
      <c r="I1093"/>
      <c r="J1093"/>
      <c r="K1093"/>
      <c r="L1093"/>
      <c r="M1093" s="18" t="s">
        <v>353</v>
      </c>
      <c r="N1093" t="s">
        <v>1172</v>
      </c>
      <c r="O1093" t="s">
        <v>93</v>
      </c>
      <c r="P1093" s="1" t="s">
        <v>845</v>
      </c>
      <c r="Q1093" s="13" t="s">
        <v>1018</v>
      </c>
      <c r="R1093">
        <v>5</v>
      </c>
      <c r="S1093">
        <v>25000</v>
      </c>
      <c r="T1093"/>
      <c r="U1093" s="9"/>
      <c r="V1093" s="9"/>
      <c r="W1093" s="9"/>
      <c r="X1093" s="9"/>
    </row>
    <row r="1094" spans="1:24">
      <c r="A1094" s="13" t="s">
        <v>19</v>
      </c>
      <c r="B1094" s="1"/>
      <c r="C1094" s="1" t="s">
        <v>26</v>
      </c>
      <c r="D1094" s="3">
        <v>75000</v>
      </c>
      <c r="E1094"/>
      <c r="F1094"/>
      <c r="G1094"/>
      <c r="H1094"/>
      <c r="I1094"/>
      <c r="J1094"/>
      <c r="K1094"/>
      <c r="L1094"/>
      <c r="M1094" s="18" t="s">
        <v>353</v>
      </c>
      <c r="N1094" t="s">
        <v>1172</v>
      </c>
      <c r="O1094" t="s">
        <v>93</v>
      </c>
      <c r="P1094" s="1" t="s">
        <v>588</v>
      </c>
      <c r="Q1094" s="13" t="s">
        <v>1018</v>
      </c>
      <c r="R1094">
        <v>3</v>
      </c>
      <c r="S1094">
        <v>25000</v>
      </c>
      <c r="T1094"/>
      <c r="U1094" s="9"/>
      <c r="V1094" s="9"/>
      <c r="W1094" s="9"/>
      <c r="X1094" s="9"/>
    </row>
    <row r="1095" spans="1:24">
      <c r="A1095" s="13" t="s">
        <v>19</v>
      </c>
      <c r="B1095" s="1"/>
      <c r="C1095" s="1" t="s">
        <v>29</v>
      </c>
      <c r="D1095" s="3">
        <v>60000</v>
      </c>
      <c r="E1095"/>
      <c r="F1095"/>
      <c r="G1095"/>
      <c r="H1095"/>
      <c r="I1095"/>
      <c r="J1095"/>
      <c r="K1095"/>
      <c r="L1095"/>
      <c r="M1095" s="18" t="s">
        <v>353</v>
      </c>
      <c r="N1095" t="s">
        <v>1172</v>
      </c>
      <c r="O1095" t="s">
        <v>93</v>
      </c>
      <c r="P1095" s="1" t="s">
        <v>30</v>
      </c>
      <c r="Q1095" s="13" t="s">
        <v>1018</v>
      </c>
      <c r="R1095">
        <v>12</v>
      </c>
      <c r="S1095">
        <v>5000</v>
      </c>
      <c r="T1095"/>
      <c r="U1095" s="9"/>
      <c r="V1095" s="9"/>
      <c r="W1095" s="9"/>
      <c r="X1095" s="9"/>
    </row>
    <row r="1096" spans="1:24">
      <c r="A1096" s="13" t="s">
        <v>19</v>
      </c>
      <c r="B1096" s="1"/>
      <c r="C1096" s="1" t="s">
        <v>29</v>
      </c>
      <c r="D1096" s="3">
        <v>30000</v>
      </c>
      <c r="E1096"/>
      <c r="F1096"/>
      <c r="G1096"/>
      <c r="H1096"/>
      <c r="I1096"/>
      <c r="J1096"/>
      <c r="K1096"/>
      <c r="L1096"/>
      <c r="M1096" s="18" t="s">
        <v>353</v>
      </c>
      <c r="N1096" t="s">
        <v>1172</v>
      </c>
      <c r="O1096" t="s">
        <v>93</v>
      </c>
      <c r="P1096" s="1" t="s">
        <v>30</v>
      </c>
      <c r="Q1096" s="13" t="s">
        <v>1018</v>
      </c>
      <c r="R1096">
        <v>6</v>
      </c>
      <c r="S1096">
        <v>5000</v>
      </c>
      <c r="T1096"/>
      <c r="U1096" s="9"/>
      <c r="V1096" s="9"/>
      <c r="W1096" s="9"/>
      <c r="X1096" s="9"/>
    </row>
    <row r="1097" spans="1:24">
      <c r="A1097" s="13" t="s">
        <v>19</v>
      </c>
      <c r="B1097" s="1"/>
      <c r="C1097" s="1" t="s">
        <v>29</v>
      </c>
      <c r="D1097" s="3">
        <v>30000</v>
      </c>
      <c r="E1097"/>
      <c r="F1097"/>
      <c r="G1097"/>
      <c r="H1097"/>
      <c r="I1097"/>
      <c r="J1097"/>
      <c r="K1097"/>
      <c r="L1097"/>
      <c r="M1097" s="18" t="s">
        <v>353</v>
      </c>
      <c r="N1097" t="s">
        <v>1172</v>
      </c>
      <c r="O1097" t="s">
        <v>93</v>
      </c>
      <c r="P1097" s="1" t="s">
        <v>30</v>
      </c>
      <c r="Q1097" s="13" t="s">
        <v>1018</v>
      </c>
      <c r="R1097">
        <v>6</v>
      </c>
      <c r="S1097">
        <v>5000</v>
      </c>
      <c r="T1097"/>
      <c r="U1097" s="9"/>
      <c r="V1097" s="9"/>
      <c r="W1097" s="9"/>
      <c r="X1097" s="9"/>
    </row>
    <row r="1098" spans="1:24">
      <c r="A1098" s="13" t="s">
        <v>19</v>
      </c>
      <c r="B1098" s="1"/>
      <c r="C1098" s="1" t="s">
        <v>29</v>
      </c>
      <c r="D1098" s="3">
        <v>30000</v>
      </c>
      <c r="E1098"/>
      <c r="F1098"/>
      <c r="G1098"/>
      <c r="H1098"/>
      <c r="I1098"/>
      <c r="J1098"/>
      <c r="K1098"/>
      <c r="L1098"/>
      <c r="M1098" s="18" t="s">
        <v>353</v>
      </c>
      <c r="N1098" t="s">
        <v>1172</v>
      </c>
      <c r="O1098" t="s">
        <v>93</v>
      </c>
      <c r="P1098" s="1" t="s">
        <v>30</v>
      </c>
      <c r="Q1098" s="13" t="s">
        <v>1018</v>
      </c>
      <c r="R1098">
        <v>6</v>
      </c>
      <c r="S1098">
        <v>5000</v>
      </c>
      <c r="T1098"/>
      <c r="U1098" s="9"/>
      <c r="V1098" s="9"/>
      <c r="W1098" s="9"/>
      <c r="X1098" s="9"/>
    </row>
    <row r="1099" spans="1:24">
      <c r="A1099" s="13" t="s">
        <v>19</v>
      </c>
      <c r="B1099" s="1"/>
      <c r="C1099" s="1" t="s">
        <v>32</v>
      </c>
      <c r="D1099" s="3">
        <v>25000</v>
      </c>
      <c r="E1099"/>
      <c r="F1099"/>
      <c r="G1099"/>
      <c r="H1099"/>
      <c r="I1099"/>
      <c r="J1099"/>
      <c r="K1099"/>
      <c r="L1099"/>
      <c r="M1099" s="18" t="s">
        <v>353</v>
      </c>
      <c r="N1099" t="s">
        <v>1172</v>
      </c>
      <c r="O1099" t="s">
        <v>93</v>
      </c>
      <c r="P1099" s="1" t="s">
        <v>846</v>
      </c>
      <c r="Q1099" s="13" t="s">
        <v>1018</v>
      </c>
      <c r="R1099">
        <v>5</v>
      </c>
      <c r="S1099">
        <v>5000</v>
      </c>
      <c r="T1099"/>
      <c r="U1099" s="9"/>
      <c r="V1099" s="9"/>
      <c r="W1099" s="9"/>
      <c r="X1099" s="9"/>
    </row>
    <row r="1100" spans="1:24">
      <c r="A1100" s="13" t="s">
        <v>19</v>
      </c>
      <c r="B1100" s="1"/>
      <c r="C1100" s="1" t="s">
        <v>32</v>
      </c>
      <c r="D1100" s="3">
        <v>35000</v>
      </c>
      <c r="E1100"/>
      <c r="F1100"/>
      <c r="G1100"/>
      <c r="H1100"/>
      <c r="I1100"/>
      <c r="J1100"/>
      <c r="K1100"/>
      <c r="L1100"/>
      <c r="M1100" s="18" t="s">
        <v>353</v>
      </c>
      <c r="N1100" t="s">
        <v>1172</v>
      </c>
      <c r="O1100" t="s">
        <v>93</v>
      </c>
      <c r="P1100" s="1" t="s">
        <v>673</v>
      </c>
      <c r="Q1100" s="13" t="s">
        <v>1018</v>
      </c>
      <c r="R1100">
        <v>7</v>
      </c>
      <c r="S1100">
        <v>5000</v>
      </c>
      <c r="T1100"/>
      <c r="U1100" s="9"/>
      <c r="V1100" s="9"/>
      <c r="W1100" s="9"/>
      <c r="X1100" s="9"/>
    </row>
    <row r="1101" spans="1:24">
      <c r="A1101" s="13" t="s">
        <v>19</v>
      </c>
      <c r="B1101" s="1"/>
      <c r="C1101" s="1" t="s">
        <v>32</v>
      </c>
      <c r="D1101" s="3">
        <v>25000</v>
      </c>
      <c r="E1101"/>
      <c r="F1101"/>
      <c r="G1101"/>
      <c r="H1101"/>
      <c r="I1101"/>
      <c r="J1101"/>
      <c r="K1101"/>
      <c r="L1101"/>
      <c r="M1101" s="18" t="s">
        <v>353</v>
      </c>
      <c r="N1101" t="s">
        <v>1172</v>
      </c>
      <c r="O1101" t="s">
        <v>93</v>
      </c>
      <c r="P1101" s="1" t="s">
        <v>847</v>
      </c>
      <c r="Q1101" s="13" t="s">
        <v>1018</v>
      </c>
      <c r="R1101">
        <v>5</v>
      </c>
      <c r="S1101">
        <v>5000</v>
      </c>
      <c r="T1101"/>
      <c r="U1101" s="9"/>
      <c r="V1101" s="9"/>
      <c r="W1101" s="9"/>
      <c r="X1101" s="9"/>
    </row>
    <row r="1102" spans="1:24">
      <c r="A1102" s="13" t="s">
        <v>19</v>
      </c>
      <c r="B1102" s="1"/>
      <c r="C1102" s="1" t="s">
        <v>32</v>
      </c>
      <c r="D1102" s="3">
        <v>15000</v>
      </c>
      <c r="E1102"/>
      <c r="F1102"/>
      <c r="G1102"/>
      <c r="H1102"/>
      <c r="I1102"/>
      <c r="J1102"/>
      <c r="K1102"/>
      <c r="L1102"/>
      <c r="M1102" s="18" t="s">
        <v>353</v>
      </c>
      <c r="N1102" t="s">
        <v>1172</v>
      </c>
      <c r="O1102" t="s">
        <v>93</v>
      </c>
      <c r="P1102" s="1" t="s">
        <v>599</v>
      </c>
      <c r="Q1102" s="13" t="s">
        <v>1018</v>
      </c>
      <c r="R1102">
        <v>3</v>
      </c>
      <c r="S1102">
        <v>5000</v>
      </c>
      <c r="T1102"/>
      <c r="U1102" s="9"/>
      <c r="V1102" s="9"/>
      <c r="W1102" s="9"/>
      <c r="X1102" s="9"/>
    </row>
    <row r="1103" spans="1:24">
      <c r="A1103" s="13"/>
      <c r="B1103" s="1"/>
      <c r="C1103" s="1"/>
      <c r="D1103" s="3" t="str">
        <f>SUBTOTAL(9,D1087:D1102)</f>
        <v>0</v>
      </c>
      <c r="E1103"/>
      <c r="F1103"/>
      <c r="G1103"/>
      <c r="H1103"/>
      <c r="I1103"/>
      <c r="J1103"/>
      <c r="K1103"/>
      <c r="L1103"/>
      <c r="M1103" s="18" t="s">
        <v>354</v>
      </c>
      <c r="N1103" t="s">
        <v>1522</v>
      </c>
      <c r="O1103" t="s">
        <v>93</v>
      </c>
      <c r="P1103" s="1"/>
      <c r="Q1103" s="13"/>
      <c r="R1103"/>
      <c r="S1103"/>
      <c r="T1103"/>
      <c r="U1103" s="9"/>
      <c r="V1103" s="9"/>
      <c r="W1103" s="9"/>
      <c r="X1103" s="9"/>
    </row>
    <row r="1104" spans="1:24">
      <c r="A1104" s="13" t="s">
        <v>19</v>
      </c>
      <c r="B1104" s="1"/>
      <c r="C1104" s="1" t="s">
        <v>20</v>
      </c>
      <c r="D1104" s="3">
        <v>32000</v>
      </c>
      <c r="E1104"/>
      <c r="F1104"/>
      <c r="G1104"/>
      <c r="H1104"/>
      <c r="I1104"/>
      <c r="J1104"/>
      <c r="K1104"/>
      <c r="L1104"/>
      <c r="M1104" s="18" t="s">
        <v>355</v>
      </c>
      <c r="N1104" t="s">
        <v>1196</v>
      </c>
      <c r="O1104" t="s">
        <v>98</v>
      </c>
      <c r="P1104" s="1" t="s">
        <v>24</v>
      </c>
      <c r="Q1104" s="13" t="s">
        <v>25</v>
      </c>
      <c r="R1104">
        <v>1</v>
      </c>
      <c r="S1104">
        <v>32000</v>
      </c>
      <c r="T1104"/>
      <c r="U1104" s="9"/>
      <c r="V1104" s="9"/>
      <c r="W1104" s="9"/>
      <c r="X1104" s="9"/>
    </row>
    <row r="1105" spans="1:24">
      <c r="A1105" s="13" t="s">
        <v>19</v>
      </c>
      <c r="B1105" s="1"/>
      <c r="C1105" s="1" t="s">
        <v>20</v>
      </c>
      <c r="D1105" s="3">
        <v>32000</v>
      </c>
      <c r="E1105"/>
      <c r="F1105"/>
      <c r="G1105"/>
      <c r="H1105"/>
      <c r="I1105"/>
      <c r="J1105"/>
      <c r="K1105"/>
      <c r="L1105"/>
      <c r="M1105" s="18" t="s">
        <v>355</v>
      </c>
      <c r="N1105" t="s">
        <v>1196</v>
      </c>
      <c r="O1105" t="s">
        <v>98</v>
      </c>
      <c r="P1105" s="1" t="s">
        <v>24</v>
      </c>
      <c r="Q1105" s="13" t="s">
        <v>25</v>
      </c>
      <c r="R1105">
        <v>1</v>
      </c>
      <c r="S1105">
        <v>32000</v>
      </c>
      <c r="T1105"/>
      <c r="U1105" s="9"/>
      <c r="V1105" s="9"/>
      <c r="W1105" s="9"/>
      <c r="X1105" s="9"/>
    </row>
    <row r="1106" spans="1:24">
      <c r="A1106" s="13" t="s">
        <v>19</v>
      </c>
      <c r="B1106" s="1"/>
      <c r="C1106" s="1" t="s">
        <v>20</v>
      </c>
      <c r="D1106" s="3">
        <v>32000</v>
      </c>
      <c r="E1106"/>
      <c r="F1106"/>
      <c r="G1106"/>
      <c r="H1106"/>
      <c r="I1106"/>
      <c r="J1106"/>
      <c r="K1106"/>
      <c r="L1106"/>
      <c r="M1106" s="18" t="s">
        <v>355</v>
      </c>
      <c r="N1106" t="s">
        <v>1196</v>
      </c>
      <c r="O1106" t="s">
        <v>98</v>
      </c>
      <c r="P1106" s="1" t="s">
        <v>848</v>
      </c>
      <c r="Q1106" s="13" t="s">
        <v>25</v>
      </c>
      <c r="R1106">
        <v>1</v>
      </c>
      <c r="S1106">
        <v>32000</v>
      </c>
      <c r="T1106"/>
      <c r="U1106" s="9"/>
      <c r="V1106" s="9"/>
      <c r="W1106" s="9"/>
      <c r="X1106" s="9"/>
    </row>
    <row r="1107" spans="1:24">
      <c r="A1107" s="13" t="s">
        <v>19</v>
      </c>
      <c r="B1107" s="1"/>
      <c r="C1107" s="1" t="s">
        <v>29</v>
      </c>
      <c r="D1107" s="3">
        <v>5000</v>
      </c>
      <c r="E1107"/>
      <c r="F1107"/>
      <c r="G1107"/>
      <c r="H1107"/>
      <c r="I1107"/>
      <c r="J1107"/>
      <c r="K1107"/>
      <c r="L1107"/>
      <c r="M1107" s="18" t="s">
        <v>355</v>
      </c>
      <c r="N1107" t="s">
        <v>1196</v>
      </c>
      <c r="O1107" t="s">
        <v>98</v>
      </c>
      <c r="P1107" s="1" t="s">
        <v>30</v>
      </c>
      <c r="Q1107" s="13" t="s">
        <v>25</v>
      </c>
      <c r="R1107">
        <v>1</v>
      </c>
      <c r="S1107">
        <v>5000</v>
      </c>
      <c r="T1107"/>
      <c r="U1107" s="9"/>
      <c r="V1107" s="9"/>
      <c r="W1107" s="9"/>
      <c r="X1107" s="9"/>
    </row>
    <row r="1108" spans="1:24">
      <c r="A1108" s="13" t="s">
        <v>19</v>
      </c>
      <c r="B1108" s="1"/>
      <c r="C1108" s="1" t="s">
        <v>29</v>
      </c>
      <c r="D1108" s="3">
        <v>5000</v>
      </c>
      <c r="E1108"/>
      <c r="F1108"/>
      <c r="G1108"/>
      <c r="H1108"/>
      <c r="I1108"/>
      <c r="J1108"/>
      <c r="K1108"/>
      <c r="L1108"/>
      <c r="M1108" s="18" t="s">
        <v>355</v>
      </c>
      <c r="N1108" t="s">
        <v>1196</v>
      </c>
      <c r="O1108" t="s">
        <v>98</v>
      </c>
      <c r="P1108" s="1" t="s">
        <v>30</v>
      </c>
      <c r="Q1108" s="13" t="s">
        <v>25</v>
      </c>
      <c r="R1108">
        <v>1</v>
      </c>
      <c r="S1108">
        <v>5000</v>
      </c>
      <c r="T1108"/>
      <c r="U1108" s="9"/>
      <c r="V1108" s="9"/>
      <c r="W1108" s="9"/>
      <c r="X1108" s="9"/>
    </row>
    <row r="1109" spans="1:24">
      <c r="A1109" s="13" t="s">
        <v>19</v>
      </c>
      <c r="B1109" s="1"/>
      <c r="C1109" s="1" t="s">
        <v>29</v>
      </c>
      <c r="D1109" s="3">
        <v>5000</v>
      </c>
      <c r="E1109"/>
      <c r="F1109"/>
      <c r="G1109"/>
      <c r="H1109"/>
      <c r="I1109"/>
      <c r="J1109"/>
      <c r="K1109"/>
      <c r="L1109"/>
      <c r="M1109" s="18" t="s">
        <v>355</v>
      </c>
      <c r="N1109" t="s">
        <v>1196</v>
      </c>
      <c r="O1109" t="s">
        <v>98</v>
      </c>
      <c r="P1109" s="1" t="s">
        <v>849</v>
      </c>
      <c r="Q1109" s="13" t="s">
        <v>25</v>
      </c>
      <c r="R1109">
        <v>1</v>
      </c>
      <c r="S1109">
        <v>5000</v>
      </c>
      <c r="T1109"/>
      <c r="U1109" s="9"/>
      <c r="V1109" s="9"/>
      <c r="W1109" s="9"/>
      <c r="X1109" s="9"/>
    </row>
    <row r="1110" spans="1:24">
      <c r="A1110" s="13"/>
      <c r="B1110" s="1"/>
      <c r="C1110" s="1"/>
      <c r="D1110" s="3" t="str">
        <f>SUBTOTAL(9,D1104:D1109)</f>
        <v>0</v>
      </c>
      <c r="E1110"/>
      <c r="F1110"/>
      <c r="G1110"/>
      <c r="H1110"/>
      <c r="I1110"/>
      <c r="J1110"/>
      <c r="K1110"/>
      <c r="L1110"/>
      <c r="M1110" s="18" t="s">
        <v>356</v>
      </c>
      <c r="N1110" t="s">
        <v>1523</v>
      </c>
      <c r="O1110" t="s">
        <v>98</v>
      </c>
      <c r="P1110" s="1"/>
      <c r="Q1110" s="13"/>
      <c r="R1110"/>
      <c r="S1110"/>
      <c r="T1110"/>
      <c r="U1110" s="9"/>
      <c r="V1110" s="9"/>
      <c r="W1110" s="9"/>
      <c r="X1110" s="9"/>
    </row>
    <row r="1111" spans="1:24">
      <c r="A1111" s="13" t="s">
        <v>19</v>
      </c>
      <c r="B1111" s="1"/>
      <c r="C1111" s="1" t="s">
        <v>20</v>
      </c>
      <c r="D1111" s="3">
        <v>30000</v>
      </c>
      <c r="E1111"/>
      <c r="F1111"/>
      <c r="G1111"/>
      <c r="H1111"/>
      <c r="I1111"/>
      <c r="J1111"/>
      <c r="K1111"/>
      <c r="L1111"/>
      <c r="M1111" s="18" t="s">
        <v>357</v>
      </c>
      <c r="N1111" t="s">
        <v>1363</v>
      </c>
      <c r="O1111" t="s">
        <v>1395</v>
      </c>
      <c r="P1111" s="1" t="s">
        <v>24</v>
      </c>
      <c r="Q1111" s="13" t="s">
        <v>25</v>
      </c>
      <c r="R1111">
        <v>1</v>
      </c>
      <c r="S1111">
        <v>30000</v>
      </c>
      <c r="T1111"/>
      <c r="U1111" s="9"/>
      <c r="V1111" s="9"/>
      <c r="W1111" s="9"/>
      <c r="X1111" s="9"/>
    </row>
    <row r="1112" spans="1:24">
      <c r="A1112" s="13" t="s">
        <v>19</v>
      </c>
      <c r="B1112" s="1"/>
      <c r="C1112" s="1" t="s">
        <v>20</v>
      </c>
      <c r="D1112" s="3">
        <v>30000</v>
      </c>
      <c r="E1112"/>
      <c r="F1112"/>
      <c r="G1112"/>
      <c r="H1112"/>
      <c r="I1112"/>
      <c r="J1112"/>
      <c r="K1112"/>
      <c r="L1112"/>
      <c r="M1112" s="18" t="s">
        <v>357</v>
      </c>
      <c r="N1112" t="s">
        <v>1363</v>
      </c>
      <c r="O1112" t="s">
        <v>1395</v>
      </c>
      <c r="P1112" s="1" t="s">
        <v>24</v>
      </c>
      <c r="Q1112" s="13" t="s">
        <v>25</v>
      </c>
      <c r="R1112">
        <v>1</v>
      </c>
      <c r="S1112">
        <v>30000</v>
      </c>
      <c r="T1112"/>
      <c r="U1112" s="9"/>
      <c r="V1112" s="9"/>
      <c r="W1112" s="9"/>
      <c r="X1112" s="9"/>
    </row>
    <row r="1113" spans="1:24">
      <c r="A1113" s="13" t="s">
        <v>19</v>
      </c>
      <c r="B1113" s="1"/>
      <c r="C1113" s="1" t="s">
        <v>20</v>
      </c>
      <c r="D1113" s="3">
        <v>60000</v>
      </c>
      <c r="E1113"/>
      <c r="F1113"/>
      <c r="G1113"/>
      <c r="H1113"/>
      <c r="I1113"/>
      <c r="J1113"/>
      <c r="K1113"/>
      <c r="L1113"/>
      <c r="M1113" s="18" t="s">
        <v>357</v>
      </c>
      <c r="N1113" t="s">
        <v>1363</v>
      </c>
      <c r="O1113" t="s">
        <v>1395</v>
      </c>
      <c r="P1113" s="1" t="s">
        <v>24</v>
      </c>
      <c r="Q1113" s="13" t="s">
        <v>25</v>
      </c>
      <c r="R1113">
        <v>2</v>
      </c>
      <c r="S1113">
        <v>30000</v>
      </c>
      <c r="T1113"/>
      <c r="U1113" s="9"/>
      <c r="V1113" s="9"/>
      <c r="W1113" s="9"/>
      <c r="X1113" s="9"/>
    </row>
    <row r="1114" spans="1:24">
      <c r="A1114" s="13" t="s">
        <v>19</v>
      </c>
      <c r="B1114" s="1"/>
      <c r="C1114" s="1" t="s">
        <v>26</v>
      </c>
      <c r="D1114" s="3">
        <v>74000</v>
      </c>
      <c r="E1114"/>
      <c r="F1114"/>
      <c r="G1114"/>
      <c r="H1114"/>
      <c r="I1114"/>
      <c r="J1114"/>
      <c r="K1114"/>
      <c r="L1114"/>
      <c r="M1114" s="18" t="s">
        <v>357</v>
      </c>
      <c r="N1114" t="s">
        <v>1363</v>
      </c>
      <c r="O1114" t="s">
        <v>1395</v>
      </c>
      <c r="P1114" s="1" t="s">
        <v>850</v>
      </c>
      <c r="Q1114" s="13" t="s">
        <v>25</v>
      </c>
      <c r="R1114">
        <v>2</v>
      </c>
      <c r="S1114">
        <v>37000</v>
      </c>
      <c r="T1114"/>
      <c r="U1114" s="9"/>
      <c r="V1114" s="9"/>
      <c r="W1114" s="9"/>
      <c r="X1114" s="9"/>
    </row>
    <row r="1115" spans="1:24">
      <c r="A1115" s="13" t="s">
        <v>19</v>
      </c>
      <c r="B1115" s="1"/>
      <c r="C1115" s="1" t="s">
        <v>26</v>
      </c>
      <c r="D1115" s="3">
        <v>37000</v>
      </c>
      <c r="E1115"/>
      <c r="F1115"/>
      <c r="G1115"/>
      <c r="H1115"/>
      <c r="I1115"/>
      <c r="J1115"/>
      <c r="K1115"/>
      <c r="L1115"/>
      <c r="M1115" s="18" t="s">
        <v>357</v>
      </c>
      <c r="N1115" t="s">
        <v>1363</v>
      </c>
      <c r="O1115" t="s">
        <v>1395</v>
      </c>
      <c r="P1115" s="1" t="s">
        <v>851</v>
      </c>
      <c r="Q1115" s="13" t="s">
        <v>25</v>
      </c>
      <c r="R1115">
        <v>1</v>
      </c>
      <c r="S1115">
        <v>37000</v>
      </c>
      <c r="T1115"/>
      <c r="U1115" s="9"/>
      <c r="V1115" s="9"/>
      <c r="W1115" s="9"/>
      <c r="X1115" s="9"/>
    </row>
    <row r="1116" spans="1:24">
      <c r="A1116" s="13" t="s">
        <v>19</v>
      </c>
      <c r="B1116" s="1"/>
      <c r="C1116" s="1" t="s">
        <v>26</v>
      </c>
      <c r="D1116" s="3">
        <v>37000</v>
      </c>
      <c r="E1116"/>
      <c r="F1116"/>
      <c r="G1116"/>
      <c r="H1116"/>
      <c r="I1116"/>
      <c r="J1116"/>
      <c r="K1116"/>
      <c r="L1116"/>
      <c r="M1116" s="18" t="s">
        <v>357</v>
      </c>
      <c r="N1116" t="s">
        <v>1363</v>
      </c>
      <c r="O1116" t="s">
        <v>1395</v>
      </c>
      <c r="P1116" s="1" t="s">
        <v>852</v>
      </c>
      <c r="Q1116" s="13" t="s">
        <v>25</v>
      </c>
      <c r="R1116">
        <v>1</v>
      </c>
      <c r="S1116">
        <v>37000</v>
      </c>
      <c r="T1116"/>
      <c r="U1116" s="9"/>
      <c r="V1116" s="9"/>
      <c r="W1116" s="9"/>
      <c r="X1116" s="9"/>
    </row>
    <row r="1117" spans="1:24">
      <c r="A1117" s="13" t="s">
        <v>19</v>
      </c>
      <c r="B1117" s="1"/>
      <c r="C1117" s="1" t="s">
        <v>29</v>
      </c>
      <c r="D1117" s="3">
        <v>7000</v>
      </c>
      <c r="E1117"/>
      <c r="F1117"/>
      <c r="G1117"/>
      <c r="H1117"/>
      <c r="I1117"/>
      <c r="J1117"/>
      <c r="K1117"/>
      <c r="L1117"/>
      <c r="M1117" s="18" t="s">
        <v>357</v>
      </c>
      <c r="N1117" t="s">
        <v>1363</v>
      </c>
      <c r="O1117" t="s">
        <v>1395</v>
      </c>
      <c r="P1117" s="1" t="s">
        <v>30</v>
      </c>
      <c r="Q1117" s="13" t="s">
        <v>25</v>
      </c>
      <c r="R1117">
        <v>1</v>
      </c>
      <c r="S1117">
        <v>7000</v>
      </c>
      <c r="T1117"/>
      <c r="U1117" s="9"/>
      <c r="V1117" s="9"/>
      <c r="W1117" s="9"/>
      <c r="X1117" s="9"/>
    </row>
    <row r="1118" spans="1:24">
      <c r="A1118" s="13" t="s">
        <v>19</v>
      </c>
      <c r="B1118" s="1"/>
      <c r="C1118" s="1" t="s">
        <v>29</v>
      </c>
      <c r="D1118" s="3">
        <v>7000</v>
      </c>
      <c r="E1118"/>
      <c r="F1118"/>
      <c r="G1118"/>
      <c r="H1118"/>
      <c r="I1118"/>
      <c r="J1118"/>
      <c r="K1118"/>
      <c r="L1118"/>
      <c r="M1118" s="18" t="s">
        <v>357</v>
      </c>
      <c r="N1118" t="s">
        <v>1363</v>
      </c>
      <c r="O1118" t="s">
        <v>1395</v>
      </c>
      <c r="P1118" s="1" t="s">
        <v>30</v>
      </c>
      <c r="Q1118" s="13" t="s">
        <v>25</v>
      </c>
      <c r="R1118">
        <v>1</v>
      </c>
      <c r="S1118">
        <v>7000</v>
      </c>
      <c r="T1118"/>
      <c r="U1118" s="9"/>
      <c r="V1118" s="9"/>
      <c r="W1118" s="9"/>
      <c r="X1118" s="9"/>
    </row>
    <row r="1119" spans="1:24">
      <c r="A1119" s="13" t="s">
        <v>19</v>
      </c>
      <c r="B1119" s="1"/>
      <c r="C1119" s="1" t="s">
        <v>29</v>
      </c>
      <c r="D1119" s="3">
        <v>14000</v>
      </c>
      <c r="E1119"/>
      <c r="F1119"/>
      <c r="G1119"/>
      <c r="H1119"/>
      <c r="I1119"/>
      <c r="J1119"/>
      <c r="K1119"/>
      <c r="L1119"/>
      <c r="M1119" s="18" t="s">
        <v>357</v>
      </c>
      <c r="N1119" t="s">
        <v>1363</v>
      </c>
      <c r="O1119" t="s">
        <v>1395</v>
      </c>
      <c r="P1119" s="1" t="s">
        <v>30</v>
      </c>
      <c r="Q1119" s="13" t="s">
        <v>25</v>
      </c>
      <c r="R1119">
        <v>2</v>
      </c>
      <c r="S1119">
        <v>7000</v>
      </c>
      <c r="T1119"/>
      <c r="U1119" s="9"/>
      <c r="V1119" s="9"/>
      <c r="W1119" s="9"/>
      <c r="X1119" s="9"/>
    </row>
    <row r="1120" spans="1:24">
      <c r="A1120" s="13" t="s">
        <v>19</v>
      </c>
      <c r="B1120" s="1"/>
      <c r="C1120" s="1" t="s">
        <v>32</v>
      </c>
      <c r="D1120" s="3">
        <v>10000</v>
      </c>
      <c r="E1120"/>
      <c r="F1120"/>
      <c r="G1120"/>
      <c r="H1120"/>
      <c r="I1120"/>
      <c r="J1120"/>
      <c r="K1120"/>
      <c r="L1120"/>
      <c r="M1120" s="18" t="s">
        <v>357</v>
      </c>
      <c r="N1120" t="s">
        <v>1363</v>
      </c>
      <c r="O1120" t="s">
        <v>1395</v>
      </c>
      <c r="P1120" s="1" t="s">
        <v>853</v>
      </c>
      <c r="Q1120" s="13" t="s">
        <v>25</v>
      </c>
      <c r="R1120">
        <v>2</v>
      </c>
      <c r="S1120">
        <v>5000</v>
      </c>
      <c r="T1120"/>
      <c r="U1120" s="9"/>
      <c r="V1120" s="9"/>
      <c r="W1120" s="9"/>
      <c r="X1120" s="9"/>
    </row>
    <row r="1121" spans="1:24">
      <c r="A1121" s="13" t="s">
        <v>19</v>
      </c>
      <c r="B1121" s="1"/>
      <c r="C1121" s="1" t="s">
        <v>32</v>
      </c>
      <c r="D1121" s="3">
        <v>5000</v>
      </c>
      <c r="E1121"/>
      <c r="F1121"/>
      <c r="G1121"/>
      <c r="H1121"/>
      <c r="I1121"/>
      <c r="J1121"/>
      <c r="K1121"/>
      <c r="L1121"/>
      <c r="M1121" s="18" t="s">
        <v>357</v>
      </c>
      <c r="N1121" t="s">
        <v>1363</v>
      </c>
      <c r="O1121" t="s">
        <v>1395</v>
      </c>
      <c r="P1121" s="1" t="s">
        <v>854</v>
      </c>
      <c r="Q1121" s="13" t="s">
        <v>25</v>
      </c>
      <c r="R1121">
        <v>1</v>
      </c>
      <c r="S1121">
        <v>5000</v>
      </c>
      <c r="T1121"/>
      <c r="U1121" s="9"/>
      <c r="V1121" s="9"/>
      <c r="W1121" s="9"/>
      <c r="X1121" s="9"/>
    </row>
    <row r="1122" spans="1:24">
      <c r="A1122" s="13" t="s">
        <v>19</v>
      </c>
      <c r="B1122" s="1"/>
      <c r="C1122" s="1" t="s">
        <v>32</v>
      </c>
      <c r="D1122" s="3">
        <v>5000</v>
      </c>
      <c r="E1122"/>
      <c r="F1122"/>
      <c r="G1122"/>
      <c r="H1122"/>
      <c r="I1122"/>
      <c r="J1122"/>
      <c r="K1122"/>
      <c r="L1122"/>
      <c r="M1122" s="18" t="s">
        <v>357</v>
      </c>
      <c r="N1122" t="s">
        <v>1363</v>
      </c>
      <c r="O1122" t="s">
        <v>1395</v>
      </c>
      <c r="P1122" s="1" t="s">
        <v>855</v>
      </c>
      <c r="Q1122" s="13" t="s">
        <v>25</v>
      </c>
      <c r="R1122">
        <v>1</v>
      </c>
      <c r="S1122">
        <v>5000</v>
      </c>
      <c r="T1122"/>
      <c r="U1122" s="9"/>
      <c r="V1122" s="9"/>
      <c r="W1122" s="9"/>
      <c r="X1122" s="9"/>
    </row>
    <row r="1123" spans="1:24">
      <c r="A1123" s="13"/>
      <c r="B1123" s="1"/>
      <c r="C1123" s="1"/>
      <c r="D1123" s="3" t="str">
        <f>SUBTOTAL(9,D1111:D1122)</f>
        <v>0</v>
      </c>
      <c r="E1123"/>
      <c r="F1123"/>
      <c r="G1123"/>
      <c r="H1123"/>
      <c r="I1123"/>
      <c r="J1123"/>
      <c r="K1123"/>
      <c r="L1123"/>
      <c r="M1123" s="18" t="s">
        <v>358</v>
      </c>
      <c r="N1123" t="s">
        <v>1524</v>
      </c>
      <c r="O1123" t="s">
        <v>1395</v>
      </c>
      <c r="P1123" s="1"/>
      <c r="Q1123" s="13"/>
      <c r="R1123"/>
      <c r="S1123"/>
      <c r="T1123"/>
      <c r="U1123" s="9"/>
      <c r="V1123" s="9"/>
      <c r="W1123" s="9"/>
      <c r="X1123" s="9"/>
    </row>
    <row r="1124" spans="1:24">
      <c r="A1124" s="13" t="s">
        <v>19</v>
      </c>
      <c r="B1124" s="1"/>
      <c r="C1124" s="1" t="s">
        <v>20</v>
      </c>
      <c r="D1124" s="3">
        <v>192000</v>
      </c>
      <c r="E1124"/>
      <c r="F1124"/>
      <c r="G1124"/>
      <c r="H1124"/>
      <c r="I1124"/>
      <c r="J1124"/>
      <c r="K1124"/>
      <c r="L1124"/>
      <c r="M1124" s="18" t="s">
        <v>359</v>
      </c>
      <c r="N1124" t="s">
        <v>1159</v>
      </c>
      <c r="O1124" t="s">
        <v>96</v>
      </c>
      <c r="P1124" s="1" t="s">
        <v>560</v>
      </c>
      <c r="Q1124" s="13" t="s">
        <v>25</v>
      </c>
      <c r="R1124">
        <v>6</v>
      </c>
      <c r="S1124">
        <v>32000</v>
      </c>
      <c r="T1124"/>
      <c r="U1124" s="9"/>
      <c r="V1124" s="9"/>
      <c r="W1124" s="9"/>
      <c r="X1124" s="9"/>
    </row>
    <row r="1125" spans="1:24">
      <c r="A1125" s="13" t="s">
        <v>19</v>
      </c>
      <c r="B1125" s="1"/>
      <c r="C1125" s="1" t="s">
        <v>20</v>
      </c>
      <c r="D1125" s="3">
        <v>96000</v>
      </c>
      <c r="E1125"/>
      <c r="F1125"/>
      <c r="G1125"/>
      <c r="H1125"/>
      <c r="I1125"/>
      <c r="J1125"/>
      <c r="K1125"/>
      <c r="L1125"/>
      <c r="M1125" s="18" t="s">
        <v>359</v>
      </c>
      <c r="N1125" t="s">
        <v>1159</v>
      </c>
      <c r="O1125" t="s">
        <v>96</v>
      </c>
      <c r="P1125" s="1" t="s">
        <v>527</v>
      </c>
      <c r="Q1125" s="13" t="s">
        <v>25</v>
      </c>
      <c r="R1125">
        <v>3</v>
      </c>
      <c r="S1125">
        <v>32000</v>
      </c>
      <c r="T1125"/>
      <c r="U1125" s="9"/>
      <c r="V1125" s="9"/>
      <c r="W1125" s="9"/>
      <c r="X1125" s="9"/>
    </row>
    <row r="1126" spans="1:24">
      <c r="A1126" s="13" t="s">
        <v>19</v>
      </c>
      <c r="B1126" s="1"/>
      <c r="C1126" s="1" t="s">
        <v>29</v>
      </c>
      <c r="D1126" s="3">
        <v>30000</v>
      </c>
      <c r="E1126"/>
      <c r="F1126"/>
      <c r="G1126"/>
      <c r="H1126"/>
      <c r="I1126"/>
      <c r="J1126"/>
      <c r="K1126"/>
      <c r="L1126"/>
      <c r="M1126" s="18" t="s">
        <v>359</v>
      </c>
      <c r="N1126" t="s">
        <v>1159</v>
      </c>
      <c r="O1126" t="s">
        <v>96</v>
      </c>
      <c r="P1126" s="1" t="s">
        <v>562</v>
      </c>
      <c r="Q1126" s="13" t="s">
        <v>25</v>
      </c>
      <c r="R1126">
        <v>6</v>
      </c>
      <c r="S1126">
        <v>5000</v>
      </c>
      <c r="T1126"/>
      <c r="U1126" s="9"/>
      <c r="V1126" s="9"/>
      <c r="W1126" s="9"/>
      <c r="X1126" s="9"/>
    </row>
    <row r="1127" spans="1:24">
      <c r="A1127" s="13" t="s">
        <v>19</v>
      </c>
      <c r="B1127" s="1"/>
      <c r="C1127" s="1" t="s">
        <v>29</v>
      </c>
      <c r="D1127" s="3">
        <v>15000</v>
      </c>
      <c r="E1127"/>
      <c r="F1127"/>
      <c r="G1127"/>
      <c r="H1127"/>
      <c r="I1127"/>
      <c r="J1127"/>
      <c r="K1127"/>
      <c r="L1127"/>
      <c r="M1127" s="18" t="s">
        <v>359</v>
      </c>
      <c r="N1127" t="s">
        <v>1159</v>
      </c>
      <c r="O1127" t="s">
        <v>96</v>
      </c>
      <c r="P1127" s="1" t="s">
        <v>529</v>
      </c>
      <c r="Q1127" s="13" t="s">
        <v>25</v>
      </c>
      <c r="R1127">
        <v>3</v>
      </c>
      <c r="S1127">
        <v>5000</v>
      </c>
      <c r="T1127"/>
      <c r="U1127" s="9"/>
      <c r="V1127" s="9"/>
      <c r="W1127" s="9"/>
      <c r="X1127" s="9"/>
    </row>
    <row r="1128" spans="1:24">
      <c r="A1128" s="13"/>
      <c r="B1128" s="1"/>
      <c r="C1128" s="1"/>
      <c r="D1128" s="3" t="str">
        <f>SUBTOTAL(9,D1124:D1127)</f>
        <v>0</v>
      </c>
      <c r="E1128"/>
      <c r="F1128"/>
      <c r="G1128"/>
      <c r="H1128"/>
      <c r="I1128"/>
      <c r="J1128"/>
      <c r="K1128"/>
      <c r="L1128"/>
      <c r="M1128" s="18" t="s">
        <v>360</v>
      </c>
      <c r="N1128" t="s">
        <v>1525</v>
      </c>
      <c r="O1128" t="s">
        <v>96</v>
      </c>
      <c r="P1128" s="1"/>
      <c r="Q1128" s="13"/>
      <c r="R1128"/>
      <c r="S1128"/>
      <c r="T1128"/>
      <c r="U1128" s="9"/>
      <c r="V1128" s="9"/>
      <c r="W1128" s="9"/>
      <c r="X1128" s="9"/>
    </row>
    <row r="1129" spans="1:24">
      <c r="A1129" s="13" t="s">
        <v>19</v>
      </c>
      <c r="B1129" s="1"/>
      <c r="C1129" s="1" t="s">
        <v>20</v>
      </c>
      <c r="D1129" s="3">
        <v>60000</v>
      </c>
      <c r="E1129"/>
      <c r="F1129"/>
      <c r="G1129"/>
      <c r="H1129"/>
      <c r="I1129"/>
      <c r="J1129"/>
      <c r="K1129"/>
      <c r="L1129"/>
      <c r="M1129" s="18" t="s">
        <v>361</v>
      </c>
      <c r="N1129" t="s">
        <v>1157</v>
      </c>
      <c r="O1129" t="s">
        <v>1395</v>
      </c>
      <c r="P1129" s="1" t="s">
        <v>780</v>
      </c>
      <c r="Q1129" s="13" t="s">
        <v>25</v>
      </c>
      <c r="R1129">
        <v>2</v>
      </c>
      <c r="S1129">
        <v>30000</v>
      </c>
      <c r="T1129"/>
      <c r="U1129" s="9"/>
      <c r="V1129" s="9"/>
      <c r="W1129" s="9"/>
      <c r="X1129" s="9"/>
    </row>
    <row r="1130" spans="1:24">
      <c r="A1130" s="13" t="s">
        <v>19</v>
      </c>
      <c r="B1130" s="1"/>
      <c r="C1130" s="1" t="s">
        <v>20</v>
      </c>
      <c r="D1130" s="3">
        <v>32000</v>
      </c>
      <c r="E1130"/>
      <c r="F1130"/>
      <c r="G1130"/>
      <c r="H1130"/>
      <c r="I1130"/>
      <c r="J1130"/>
      <c r="K1130"/>
      <c r="L1130"/>
      <c r="M1130" s="18" t="s">
        <v>361</v>
      </c>
      <c r="N1130" t="s">
        <v>1157</v>
      </c>
      <c r="O1130" t="s">
        <v>1395</v>
      </c>
      <c r="P1130" s="1" t="s">
        <v>856</v>
      </c>
      <c r="Q1130" s="13" t="s">
        <v>25</v>
      </c>
      <c r="R1130">
        <v>1</v>
      </c>
      <c r="S1130">
        <v>32000</v>
      </c>
      <c r="T1130"/>
      <c r="U1130" s="9"/>
      <c r="V1130" s="9"/>
      <c r="W1130" s="9"/>
      <c r="X1130" s="9"/>
    </row>
    <row r="1131" spans="1:24">
      <c r="A1131" s="13" t="s">
        <v>19</v>
      </c>
      <c r="B1131" s="1"/>
      <c r="C1131" s="1" t="s">
        <v>26</v>
      </c>
      <c r="D1131" s="3">
        <v>37000</v>
      </c>
      <c r="E1131"/>
      <c r="F1131"/>
      <c r="G1131"/>
      <c r="H1131"/>
      <c r="I1131"/>
      <c r="J1131"/>
      <c r="K1131"/>
      <c r="L1131"/>
      <c r="M1131" s="18" t="s">
        <v>361</v>
      </c>
      <c r="N1131" t="s">
        <v>1157</v>
      </c>
      <c r="O1131" t="s">
        <v>1395</v>
      </c>
      <c r="P1131" s="1" t="s">
        <v>783</v>
      </c>
      <c r="Q1131" s="13" t="s">
        <v>25</v>
      </c>
      <c r="R1131">
        <v>1</v>
      </c>
      <c r="S1131">
        <v>37000</v>
      </c>
      <c r="T1131"/>
      <c r="U1131" s="9"/>
      <c r="V1131" s="9"/>
      <c r="W1131" s="9"/>
      <c r="X1131" s="9"/>
    </row>
    <row r="1132" spans="1:24">
      <c r="A1132" s="13" t="s">
        <v>19</v>
      </c>
      <c r="B1132" s="1"/>
      <c r="C1132" s="1" t="s">
        <v>29</v>
      </c>
      <c r="D1132" s="3">
        <v>14000</v>
      </c>
      <c r="E1132"/>
      <c r="F1132"/>
      <c r="G1132"/>
      <c r="H1132"/>
      <c r="I1132"/>
      <c r="J1132"/>
      <c r="K1132"/>
      <c r="L1132"/>
      <c r="M1132" s="18" t="s">
        <v>361</v>
      </c>
      <c r="N1132" t="s">
        <v>1157</v>
      </c>
      <c r="O1132" t="s">
        <v>1395</v>
      </c>
      <c r="P1132" s="1" t="s">
        <v>781</v>
      </c>
      <c r="Q1132" s="13" t="s">
        <v>25</v>
      </c>
      <c r="R1132">
        <v>2</v>
      </c>
      <c r="S1132">
        <v>7000</v>
      </c>
      <c r="T1132"/>
      <c r="U1132" s="9"/>
      <c r="V1132" s="9"/>
      <c r="W1132" s="9"/>
      <c r="X1132" s="9"/>
    </row>
    <row r="1133" spans="1:24">
      <c r="A1133" s="13" t="s">
        <v>19</v>
      </c>
      <c r="B1133" s="1"/>
      <c r="C1133" s="1" t="s">
        <v>29</v>
      </c>
      <c r="D1133" s="3">
        <v>5000</v>
      </c>
      <c r="E1133"/>
      <c r="F1133"/>
      <c r="G1133"/>
      <c r="H1133"/>
      <c r="I1133"/>
      <c r="J1133"/>
      <c r="K1133"/>
      <c r="L1133"/>
      <c r="M1133" s="18" t="s">
        <v>361</v>
      </c>
      <c r="N1133" t="s">
        <v>1157</v>
      </c>
      <c r="O1133" t="s">
        <v>1395</v>
      </c>
      <c r="P1133" s="1" t="s">
        <v>857</v>
      </c>
      <c r="Q1133" s="13" t="s">
        <v>25</v>
      </c>
      <c r="R1133">
        <v>1</v>
      </c>
      <c r="S1133">
        <v>5000</v>
      </c>
      <c r="T1133"/>
      <c r="U1133" s="9"/>
      <c r="V1133" s="9"/>
      <c r="W1133" s="9"/>
      <c r="X1133" s="9"/>
    </row>
    <row r="1134" spans="1:24">
      <c r="A1134" s="13" t="s">
        <v>19</v>
      </c>
      <c r="B1134" s="1"/>
      <c r="C1134" s="1" t="s">
        <v>32</v>
      </c>
      <c r="D1134" s="3">
        <v>5000</v>
      </c>
      <c r="E1134"/>
      <c r="F1134"/>
      <c r="G1134"/>
      <c r="H1134"/>
      <c r="I1134"/>
      <c r="J1134"/>
      <c r="K1134"/>
      <c r="L1134"/>
      <c r="M1134" s="18" t="s">
        <v>361</v>
      </c>
      <c r="N1134" t="s">
        <v>1157</v>
      </c>
      <c r="O1134" t="s">
        <v>1395</v>
      </c>
      <c r="P1134" s="1" t="s">
        <v>785</v>
      </c>
      <c r="Q1134" s="13" t="s">
        <v>25</v>
      </c>
      <c r="R1134">
        <v>1</v>
      </c>
      <c r="S1134">
        <v>5000</v>
      </c>
      <c r="T1134"/>
      <c r="U1134" s="9"/>
      <c r="V1134" s="9"/>
      <c r="W1134" s="9"/>
      <c r="X1134" s="9"/>
    </row>
    <row r="1135" spans="1:24">
      <c r="A1135" s="13"/>
      <c r="B1135" s="1"/>
      <c r="C1135" s="1"/>
      <c r="D1135" s="3" t="str">
        <f>SUBTOTAL(9,D1129:D1134)</f>
        <v>0</v>
      </c>
      <c r="E1135"/>
      <c r="F1135"/>
      <c r="G1135"/>
      <c r="H1135"/>
      <c r="I1135"/>
      <c r="J1135"/>
      <c r="K1135"/>
      <c r="L1135"/>
      <c r="M1135" s="18" t="s">
        <v>362</v>
      </c>
      <c r="N1135" t="s">
        <v>1526</v>
      </c>
      <c r="O1135" t="s">
        <v>1395</v>
      </c>
      <c r="P1135" s="1"/>
      <c r="Q1135" s="13"/>
      <c r="R1135"/>
      <c r="S1135"/>
      <c r="T1135"/>
      <c r="U1135" s="9"/>
      <c r="V1135" s="9"/>
      <c r="W1135" s="9"/>
      <c r="X1135" s="9"/>
    </row>
    <row r="1136" spans="1:24">
      <c r="A1136" s="13" t="s">
        <v>19</v>
      </c>
      <c r="B1136" s="1"/>
      <c r="C1136" s="1" t="s">
        <v>20</v>
      </c>
      <c r="D1136" s="3">
        <v>60000</v>
      </c>
      <c r="E1136"/>
      <c r="F1136"/>
      <c r="G1136"/>
      <c r="H1136"/>
      <c r="I1136"/>
      <c r="J1136"/>
      <c r="K1136"/>
      <c r="L1136"/>
      <c r="M1136" s="18" t="s">
        <v>363</v>
      </c>
      <c r="N1136" t="s">
        <v>1282</v>
      </c>
      <c r="O1136" t="s">
        <v>94</v>
      </c>
      <c r="P1136" s="1" t="s">
        <v>502</v>
      </c>
      <c r="Q1136" s="13" t="s">
        <v>25</v>
      </c>
      <c r="R1136">
        <v>2</v>
      </c>
      <c r="S1136">
        <v>30000</v>
      </c>
      <c r="T1136"/>
      <c r="U1136" s="9"/>
      <c r="V1136" s="9"/>
      <c r="W1136" s="9"/>
      <c r="X1136" s="9"/>
    </row>
    <row r="1137" spans="1:24">
      <c r="A1137" s="13" t="s">
        <v>19</v>
      </c>
      <c r="B1137" s="1"/>
      <c r="C1137" s="1" t="s">
        <v>20</v>
      </c>
      <c r="D1137" s="3">
        <v>90000</v>
      </c>
      <c r="E1137"/>
      <c r="F1137"/>
      <c r="G1137"/>
      <c r="H1137"/>
      <c r="I1137"/>
      <c r="J1137"/>
      <c r="K1137"/>
      <c r="L1137"/>
      <c r="M1137" s="18" t="s">
        <v>363</v>
      </c>
      <c r="N1137" t="s">
        <v>1282</v>
      </c>
      <c r="O1137" t="s">
        <v>94</v>
      </c>
      <c r="P1137" s="1" t="s">
        <v>858</v>
      </c>
      <c r="Q1137" s="13" t="s">
        <v>25</v>
      </c>
      <c r="R1137">
        <v>3</v>
      </c>
      <c r="S1137">
        <v>30000</v>
      </c>
      <c r="T1137"/>
      <c r="U1137" s="9"/>
      <c r="V1137" s="9"/>
      <c r="W1137" s="9"/>
      <c r="X1137" s="9"/>
    </row>
    <row r="1138" spans="1:24">
      <c r="A1138" s="13" t="s">
        <v>19</v>
      </c>
      <c r="B1138" s="1"/>
      <c r="C1138" s="1" t="s">
        <v>20</v>
      </c>
      <c r="D1138" s="3">
        <v>90000</v>
      </c>
      <c r="E1138"/>
      <c r="F1138"/>
      <c r="G1138"/>
      <c r="H1138"/>
      <c r="I1138"/>
      <c r="J1138"/>
      <c r="K1138"/>
      <c r="L1138"/>
      <c r="M1138" s="18" t="s">
        <v>363</v>
      </c>
      <c r="N1138" t="s">
        <v>1282</v>
      </c>
      <c r="O1138" t="s">
        <v>94</v>
      </c>
      <c r="P1138" s="1" t="s">
        <v>859</v>
      </c>
      <c r="Q1138" s="13" t="s">
        <v>25</v>
      </c>
      <c r="R1138">
        <v>3</v>
      </c>
      <c r="S1138">
        <v>30000</v>
      </c>
      <c r="T1138"/>
      <c r="U1138" s="9"/>
      <c r="V1138" s="9"/>
      <c r="W1138" s="9"/>
      <c r="X1138" s="9"/>
    </row>
    <row r="1139" spans="1:24">
      <c r="A1139" s="13" t="s">
        <v>19</v>
      </c>
      <c r="B1139" s="1"/>
      <c r="C1139" s="1" t="s">
        <v>29</v>
      </c>
      <c r="D1139" s="3">
        <v>10000</v>
      </c>
      <c r="E1139"/>
      <c r="F1139"/>
      <c r="G1139"/>
      <c r="H1139"/>
      <c r="I1139"/>
      <c r="J1139"/>
      <c r="K1139"/>
      <c r="L1139"/>
      <c r="M1139" s="18" t="s">
        <v>363</v>
      </c>
      <c r="N1139" t="s">
        <v>1282</v>
      </c>
      <c r="O1139" t="s">
        <v>94</v>
      </c>
      <c r="P1139" s="1" t="s">
        <v>503</v>
      </c>
      <c r="Q1139" s="13" t="s">
        <v>25</v>
      </c>
      <c r="R1139">
        <v>2</v>
      </c>
      <c r="S1139">
        <v>5000</v>
      </c>
      <c r="T1139"/>
      <c r="U1139" s="9"/>
      <c r="V1139" s="9"/>
      <c r="W1139" s="9"/>
      <c r="X1139" s="9"/>
    </row>
    <row r="1140" spans="1:24">
      <c r="A1140" s="13" t="s">
        <v>19</v>
      </c>
      <c r="B1140" s="1"/>
      <c r="C1140" s="1" t="s">
        <v>29</v>
      </c>
      <c r="D1140" s="3">
        <v>15000</v>
      </c>
      <c r="E1140"/>
      <c r="F1140"/>
      <c r="G1140"/>
      <c r="H1140"/>
      <c r="I1140"/>
      <c r="J1140"/>
      <c r="K1140"/>
      <c r="L1140"/>
      <c r="M1140" s="18" t="s">
        <v>363</v>
      </c>
      <c r="N1140" t="s">
        <v>1282</v>
      </c>
      <c r="O1140" t="s">
        <v>94</v>
      </c>
      <c r="P1140" s="1" t="s">
        <v>860</v>
      </c>
      <c r="Q1140" s="13" t="s">
        <v>25</v>
      </c>
      <c r="R1140">
        <v>3</v>
      </c>
      <c r="S1140">
        <v>5000</v>
      </c>
      <c r="T1140"/>
      <c r="U1140" s="9"/>
      <c r="V1140" s="9"/>
      <c r="W1140" s="9"/>
      <c r="X1140" s="9"/>
    </row>
    <row r="1141" spans="1:24">
      <c r="A1141" s="13" t="s">
        <v>19</v>
      </c>
      <c r="B1141" s="1"/>
      <c r="C1141" s="1" t="s">
        <v>29</v>
      </c>
      <c r="D1141" s="3">
        <v>15000</v>
      </c>
      <c r="E1141"/>
      <c r="F1141"/>
      <c r="G1141"/>
      <c r="H1141"/>
      <c r="I1141"/>
      <c r="J1141"/>
      <c r="K1141"/>
      <c r="L1141"/>
      <c r="M1141" s="18" t="s">
        <v>363</v>
      </c>
      <c r="N1141" t="s">
        <v>1282</v>
      </c>
      <c r="O1141" t="s">
        <v>94</v>
      </c>
      <c r="P1141" s="1" t="s">
        <v>861</v>
      </c>
      <c r="Q1141" s="13" t="s">
        <v>25</v>
      </c>
      <c r="R1141">
        <v>3</v>
      </c>
      <c r="S1141">
        <v>5000</v>
      </c>
      <c r="T1141"/>
      <c r="U1141" s="9"/>
      <c r="V1141" s="9"/>
      <c r="W1141" s="9"/>
      <c r="X1141" s="9"/>
    </row>
    <row r="1142" spans="1:24">
      <c r="A1142" s="13"/>
      <c r="B1142" s="1"/>
      <c r="C1142" s="1"/>
      <c r="D1142" s="3" t="str">
        <f>SUBTOTAL(9,D1136:D1141)</f>
        <v>0</v>
      </c>
      <c r="E1142"/>
      <c r="F1142"/>
      <c r="G1142"/>
      <c r="H1142"/>
      <c r="I1142"/>
      <c r="J1142"/>
      <c r="K1142"/>
      <c r="L1142"/>
      <c r="M1142" s="18" t="s">
        <v>364</v>
      </c>
      <c r="N1142" t="s">
        <v>1527</v>
      </c>
      <c r="O1142" t="s">
        <v>94</v>
      </c>
      <c r="P1142" s="1"/>
      <c r="Q1142" s="13"/>
      <c r="R1142"/>
      <c r="S1142"/>
      <c r="T1142"/>
      <c r="U1142" s="9"/>
      <c r="V1142" s="9"/>
      <c r="W1142" s="9"/>
      <c r="X1142" s="9"/>
    </row>
    <row r="1143" spans="1:24">
      <c r="A1143" s="13" t="s">
        <v>19</v>
      </c>
      <c r="B1143" s="1"/>
      <c r="C1143" s="1" t="s">
        <v>20</v>
      </c>
      <c r="D1143" s="3">
        <v>30000</v>
      </c>
      <c r="E1143"/>
      <c r="F1143"/>
      <c r="G1143"/>
      <c r="H1143"/>
      <c r="I1143"/>
      <c r="J1143"/>
      <c r="K1143"/>
      <c r="L1143"/>
      <c r="M1143" s="18" t="s">
        <v>365</v>
      </c>
      <c r="N1143" t="s">
        <v>1378</v>
      </c>
      <c r="O1143" t="s">
        <v>1395</v>
      </c>
      <c r="P1143" s="1" t="s">
        <v>24</v>
      </c>
      <c r="Q1143" s="13" t="s">
        <v>25</v>
      </c>
      <c r="R1143">
        <v>1</v>
      </c>
      <c r="S1143">
        <v>30000</v>
      </c>
      <c r="T1143"/>
      <c r="U1143" s="9"/>
      <c r="V1143" s="9"/>
      <c r="W1143" s="9"/>
      <c r="X1143" s="9"/>
    </row>
    <row r="1144" spans="1:24">
      <c r="A1144" s="13" t="s">
        <v>19</v>
      </c>
      <c r="B1144" s="1"/>
      <c r="C1144" s="1" t="s">
        <v>29</v>
      </c>
      <c r="D1144" s="3">
        <v>7000</v>
      </c>
      <c r="E1144"/>
      <c r="F1144"/>
      <c r="G1144"/>
      <c r="H1144"/>
      <c r="I1144"/>
      <c r="J1144"/>
      <c r="K1144"/>
      <c r="L1144"/>
      <c r="M1144" s="18" t="s">
        <v>365</v>
      </c>
      <c r="N1144" t="s">
        <v>1378</v>
      </c>
      <c r="O1144" t="s">
        <v>1395</v>
      </c>
      <c r="P1144" s="1" t="s">
        <v>30</v>
      </c>
      <c r="Q1144" s="13" t="s">
        <v>25</v>
      </c>
      <c r="R1144">
        <v>1</v>
      </c>
      <c r="S1144">
        <v>7000</v>
      </c>
      <c r="T1144"/>
      <c r="U1144" s="9"/>
      <c r="V1144" s="9"/>
      <c r="W1144" s="9"/>
      <c r="X1144" s="9"/>
    </row>
    <row r="1145" spans="1:24">
      <c r="A1145" s="13"/>
      <c r="B1145" s="1"/>
      <c r="C1145" s="1"/>
      <c r="D1145" s="3" t="str">
        <f>SUBTOTAL(9,D1143:D1144)</f>
        <v>0</v>
      </c>
      <c r="E1145"/>
      <c r="F1145"/>
      <c r="G1145"/>
      <c r="H1145"/>
      <c r="I1145"/>
      <c r="J1145"/>
      <c r="K1145"/>
      <c r="L1145"/>
      <c r="M1145" s="18" t="s">
        <v>366</v>
      </c>
      <c r="N1145" t="s">
        <v>1528</v>
      </c>
      <c r="O1145" t="s">
        <v>1395</v>
      </c>
      <c r="P1145" s="1"/>
      <c r="Q1145" s="13"/>
      <c r="R1145"/>
      <c r="S1145"/>
      <c r="T1145"/>
      <c r="U1145" s="9"/>
      <c r="V1145" s="9"/>
      <c r="W1145" s="9"/>
      <c r="X1145" s="9"/>
    </row>
    <row r="1146" spans="1:24">
      <c r="A1146" s="13" t="s">
        <v>19</v>
      </c>
      <c r="B1146" s="1"/>
      <c r="C1146" s="1" t="s">
        <v>20</v>
      </c>
      <c r="D1146" s="3">
        <v>96000</v>
      </c>
      <c r="E1146"/>
      <c r="F1146"/>
      <c r="G1146"/>
      <c r="H1146"/>
      <c r="I1146"/>
      <c r="J1146"/>
      <c r="K1146"/>
      <c r="L1146"/>
      <c r="M1146" s="18" t="s">
        <v>367</v>
      </c>
      <c r="N1146" t="s">
        <v>1138</v>
      </c>
      <c r="O1146" t="s">
        <v>1395</v>
      </c>
      <c r="P1146" s="1" t="s">
        <v>24</v>
      </c>
      <c r="Q1146" s="13" t="s">
        <v>25</v>
      </c>
      <c r="R1146">
        <v>3</v>
      </c>
      <c r="S1146">
        <v>32000</v>
      </c>
      <c r="T1146"/>
      <c r="U1146" s="9"/>
      <c r="V1146" s="9"/>
      <c r="W1146" s="9"/>
      <c r="X1146" s="9"/>
    </row>
    <row r="1147" spans="1:24">
      <c r="A1147" s="13" t="s">
        <v>19</v>
      </c>
      <c r="B1147" s="1"/>
      <c r="C1147" s="1" t="s">
        <v>20</v>
      </c>
      <c r="D1147" s="3">
        <v>96000</v>
      </c>
      <c r="E1147"/>
      <c r="F1147"/>
      <c r="G1147"/>
      <c r="H1147"/>
      <c r="I1147"/>
      <c r="J1147"/>
      <c r="K1147"/>
      <c r="L1147"/>
      <c r="M1147" s="18" t="s">
        <v>367</v>
      </c>
      <c r="N1147" t="s">
        <v>1138</v>
      </c>
      <c r="O1147" t="s">
        <v>1395</v>
      </c>
      <c r="P1147" s="1" t="s">
        <v>24</v>
      </c>
      <c r="Q1147" s="13" t="s">
        <v>25</v>
      </c>
      <c r="R1147">
        <v>3</v>
      </c>
      <c r="S1147">
        <v>32000</v>
      </c>
      <c r="T1147"/>
      <c r="U1147" s="9"/>
      <c r="V1147" s="9"/>
      <c r="W1147" s="9"/>
      <c r="X1147" s="9"/>
    </row>
    <row r="1148" spans="1:24">
      <c r="A1148" s="13" t="s">
        <v>19</v>
      </c>
      <c r="B1148" s="1"/>
      <c r="C1148" s="1" t="s">
        <v>20</v>
      </c>
      <c r="D1148" s="3">
        <v>96000</v>
      </c>
      <c r="E1148"/>
      <c r="F1148"/>
      <c r="G1148"/>
      <c r="H1148"/>
      <c r="I1148"/>
      <c r="J1148"/>
      <c r="K1148"/>
      <c r="L1148"/>
      <c r="M1148" s="18" t="s">
        <v>367</v>
      </c>
      <c r="N1148" t="s">
        <v>1138</v>
      </c>
      <c r="O1148" t="s">
        <v>1395</v>
      </c>
      <c r="P1148" s="1" t="s">
        <v>24</v>
      </c>
      <c r="Q1148" s="13" t="s">
        <v>25</v>
      </c>
      <c r="R1148">
        <v>3</v>
      </c>
      <c r="S1148">
        <v>32000</v>
      </c>
      <c r="T1148"/>
      <c r="U1148" s="9"/>
      <c r="V1148" s="9"/>
      <c r="W1148" s="9"/>
      <c r="X1148" s="9"/>
    </row>
    <row r="1149" spans="1:24">
      <c r="A1149" s="13" t="s">
        <v>19</v>
      </c>
      <c r="B1149" s="1"/>
      <c r="C1149" s="1" t="s">
        <v>20</v>
      </c>
      <c r="D1149" s="3">
        <v>96000</v>
      </c>
      <c r="E1149"/>
      <c r="F1149"/>
      <c r="G1149"/>
      <c r="H1149"/>
      <c r="I1149"/>
      <c r="J1149"/>
      <c r="K1149"/>
      <c r="L1149"/>
      <c r="M1149" s="18" t="s">
        <v>367</v>
      </c>
      <c r="N1149" t="s">
        <v>1138</v>
      </c>
      <c r="O1149" t="s">
        <v>1395</v>
      </c>
      <c r="P1149" s="1" t="s">
        <v>24</v>
      </c>
      <c r="Q1149" s="13" t="s">
        <v>25</v>
      </c>
      <c r="R1149">
        <v>3</v>
      </c>
      <c r="S1149">
        <v>32000</v>
      </c>
      <c r="T1149"/>
      <c r="U1149" s="9"/>
      <c r="V1149" s="9"/>
      <c r="W1149" s="9"/>
      <c r="X1149" s="9"/>
    </row>
    <row r="1150" spans="1:24">
      <c r="A1150" s="13" t="s">
        <v>19</v>
      </c>
      <c r="B1150" s="1"/>
      <c r="C1150" s="1" t="s">
        <v>29</v>
      </c>
      <c r="D1150" s="3">
        <v>15000</v>
      </c>
      <c r="E1150"/>
      <c r="F1150"/>
      <c r="G1150"/>
      <c r="H1150"/>
      <c r="I1150"/>
      <c r="J1150"/>
      <c r="K1150"/>
      <c r="L1150"/>
      <c r="M1150" s="18" t="s">
        <v>367</v>
      </c>
      <c r="N1150" t="s">
        <v>1138</v>
      </c>
      <c r="O1150" t="s">
        <v>1395</v>
      </c>
      <c r="P1150" s="1" t="s">
        <v>30</v>
      </c>
      <c r="Q1150" s="13" t="s">
        <v>25</v>
      </c>
      <c r="R1150">
        <v>3</v>
      </c>
      <c r="S1150">
        <v>5000</v>
      </c>
      <c r="T1150"/>
      <c r="U1150" s="9"/>
      <c r="V1150" s="9"/>
      <c r="W1150" s="9"/>
      <c r="X1150" s="9"/>
    </row>
    <row r="1151" spans="1:24">
      <c r="A1151" s="13" t="s">
        <v>19</v>
      </c>
      <c r="B1151" s="1"/>
      <c r="C1151" s="1" t="s">
        <v>29</v>
      </c>
      <c r="D1151" s="3">
        <v>15000</v>
      </c>
      <c r="E1151"/>
      <c r="F1151"/>
      <c r="G1151"/>
      <c r="H1151"/>
      <c r="I1151"/>
      <c r="J1151"/>
      <c r="K1151"/>
      <c r="L1151"/>
      <c r="M1151" s="18" t="s">
        <v>367</v>
      </c>
      <c r="N1151" t="s">
        <v>1138</v>
      </c>
      <c r="O1151" t="s">
        <v>1395</v>
      </c>
      <c r="P1151" s="1" t="s">
        <v>30</v>
      </c>
      <c r="Q1151" s="13" t="s">
        <v>25</v>
      </c>
      <c r="R1151">
        <v>3</v>
      </c>
      <c r="S1151">
        <v>5000</v>
      </c>
      <c r="T1151"/>
      <c r="U1151" s="9"/>
      <c r="V1151" s="9"/>
      <c r="W1151" s="9"/>
      <c r="X1151" s="9"/>
    </row>
    <row r="1152" spans="1:24">
      <c r="A1152" s="13" t="s">
        <v>19</v>
      </c>
      <c r="B1152" s="1"/>
      <c r="C1152" s="1" t="s">
        <v>29</v>
      </c>
      <c r="D1152" s="3">
        <v>15000</v>
      </c>
      <c r="E1152"/>
      <c r="F1152"/>
      <c r="G1152"/>
      <c r="H1152"/>
      <c r="I1152"/>
      <c r="J1152"/>
      <c r="K1152"/>
      <c r="L1152"/>
      <c r="M1152" s="18" t="s">
        <v>367</v>
      </c>
      <c r="N1152" t="s">
        <v>1138</v>
      </c>
      <c r="O1152" t="s">
        <v>1395</v>
      </c>
      <c r="P1152" s="1" t="s">
        <v>30</v>
      </c>
      <c r="Q1152" s="13" t="s">
        <v>25</v>
      </c>
      <c r="R1152">
        <v>3</v>
      </c>
      <c r="S1152">
        <v>5000</v>
      </c>
      <c r="T1152"/>
      <c r="U1152" s="9"/>
      <c r="V1152" s="9"/>
      <c r="W1152" s="9"/>
      <c r="X1152" s="9"/>
    </row>
    <row r="1153" spans="1:24">
      <c r="A1153" s="13" t="s">
        <v>19</v>
      </c>
      <c r="B1153" s="1"/>
      <c r="C1153" s="1" t="s">
        <v>29</v>
      </c>
      <c r="D1153" s="3">
        <v>15000</v>
      </c>
      <c r="E1153"/>
      <c r="F1153"/>
      <c r="G1153"/>
      <c r="H1153"/>
      <c r="I1153"/>
      <c r="J1153"/>
      <c r="K1153"/>
      <c r="L1153"/>
      <c r="M1153" s="18" t="s">
        <v>367</v>
      </c>
      <c r="N1153" t="s">
        <v>1138</v>
      </c>
      <c r="O1153" t="s">
        <v>1395</v>
      </c>
      <c r="P1153" s="1" t="s">
        <v>30</v>
      </c>
      <c r="Q1153" s="13" t="s">
        <v>25</v>
      </c>
      <c r="R1153">
        <v>3</v>
      </c>
      <c r="S1153">
        <v>5000</v>
      </c>
      <c r="T1153"/>
      <c r="U1153" s="9"/>
      <c r="V1153" s="9"/>
      <c r="W1153" s="9"/>
      <c r="X1153" s="9"/>
    </row>
    <row r="1154" spans="1:24">
      <c r="A1154" s="13"/>
      <c r="B1154" s="1"/>
      <c r="C1154" s="1"/>
      <c r="D1154" s="3" t="str">
        <f>SUBTOTAL(9,D1146:D1153)</f>
        <v>0</v>
      </c>
      <c r="E1154"/>
      <c r="F1154"/>
      <c r="G1154"/>
      <c r="H1154"/>
      <c r="I1154"/>
      <c r="J1154"/>
      <c r="K1154"/>
      <c r="L1154"/>
      <c r="M1154" s="18" t="s">
        <v>368</v>
      </c>
      <c r="N1154" t="s">
        <v>1529</v>
      </c>
      <c r="O1154" t="s">
        <v>1395</v>
      </c>
      <c r="P1154" s="1"/>
      <c r="Q1154" s="13"/>
      <c r="R1154"/>
      <c r="S1154"/>
      <c r="T1154"/>
      <c r="U1154" s="9"/>
      <c r="V1154" s="9"/>
      <c r="W1154" s="9"/>
      <c r="X1154" s="9"/>
    </row>
    <row r="1155" spans="1:24">
      <c r="A1155" s="13" t="s">
        <v>19</v>
      </c>
      <c r="B1155" s="1"/>
      <c r="C1155" s="1" t="s">
        <v>26</v>
      </c>
      <c r="D1155" s="3">
        <v>32000</v>
      </c>
      <c r="E1155"/>
      <c r="F1155"/>
      <c r="G1155"/>
      <c r="H1155"/>
      <c r="I1155"/>
      <c r="J1155"/>
      <c r="K1155"/>
      <c r="L1155"/>
      <c r="M1155" s="18" t="s">
        <v>369</v>
      </c>
      <c r="N1155" t="s">
        <v>1333</v>
      </c>
      <c r="O1155" t="s">
        <v>1395</v>
      </c>
      <c r="P1155" s="1" t="s">
        <v>862</v>
      </c>
      <c r="Q1155" s="13" t="s">
        <v>25</v>
      </c>
      <c r="R1155">
        <v>1</v>
      </c>
      <c r="S1155">
        <v>32000</v>
      </c>
      <c r="T1155"/>
      <c r="U1155" s="9"/>
      <c r="V1155" s="9"/>
      <c r="W1155" s="9"/>
      <c r="X1155" s="9"/>
    </row>
    <row r="1156" spans="1:24">
      <c r="A1156" s="13" t="s">
        <v>19</v>
      </c>
      <c r="B1156" s="1"/>
      <c r="C1156" s="1" t="s">
        <v>32</v>
      </c>
      <c r="D1156" s="3">
        <v>5000</v>
      </c>
      <c r="E1156"/>
      <c r="F1156"/>
      <c r="G1156"/>
      <c r="H1156"/>
      <c r="I1156"/>
      <c r="J1156"/>
      <c r="K1156"/>
      <c r="L1156"/>
      <c r="M1156" s="18" t="s">
        <v>369</v>
      </c>
      <c r="N1156" t="s">
        <v>1333</v>
      </c>
      <c r="O1156" t="s">
        <v>1395</v>
      </c>
      <c r="P1156" s="1" t="s">
        <v>863</v>
      </c>
      <c r="Q1156" s="13" t="s">
        <v>25</v>
      </c>
      <c r="R1156">
        <v>1</v>
      </c>
      <c r="S1156">
        <v>5000</v>
      </c>
      <c r="T1156"/>
      <c r="U1156" s="9"/>
      <c r="V1156" s="9"/>
      <c r="W1156" s="9"/>
      <c r="X1156" s="9"/>
    </row>
    <row r="1157" spans="1:24">
      <c r="A1157" s="13"/>
      <c r="B1157" s="1"/>
      <c r="C1157" s="1"/>
      <c r="D1157" s="3" t="str">
        <f>SUBTOTAL(9,D1155:D1156)</f>
        <v>0</v>
      </c>
      <c r="E1157"/>
      <c r="F1157"/>
      <c r="G1157"/>
      <c r="H1157"/>
      <c r="I1157"/>
      <c r="J1157"/>
      <c r="K1157"/>
      <c r="L1157"/>
      <c r="M1157" s="18" t="s">
        <v>370</v>
      </c>
      <c r="N1157" t="s">
        <v>1530</v>
      </c>
      <c r="O1157" t="s">
        <v>1395</v>
      </c>
      <c r="P1157" s="1"/>
      <c r="Q1157" s="13"/>
      <c r="R1157"/>
      <c r="S1157"/>
      <c r="T1157"/>
      <c r="U1157" s="9"/>
      <c r="V1157" s="9"/>
      <c r="W1157" s="9"/>
      <c r="X1157" s="9"/>
    </row>
    <row r="1158" spans="1:24">
      <c r="A1158" s="13" t="s">
        <v>19</v>
      </c>
      <c r="B1158" s="1"/>
      <c r="C1158" s="1" t="s">
        <v>20</v>
      </c>
      <c r="D1158" s="3">
        <v>64000</v>
      </c>
      <c r="E1158"/>
      <c r="F1158"/>
      <c r="G1158"/>
      <c r="H1158"/>
      <c r="I1158"/>
      <c r="J1158"/>
      <c r="K1158"/>
      <c r="L1158"/>
      <c r="M1158" s="18" t="s">
        <v>371</v>
      </c>
      <c r="N1158" t="s">
        <v>1166</v>
      </c>
      <c r="O1158" t="s">
        <v>1395</v>
      </c>
      <c r="P1158" s="1" t="s">
        <v>538</v>
      </c>
      <c r="Q1158" s="13" t="s">
        <v>25</v>
      </c>
      <c r="R1158">
        <v>2</v>
      </c>
      <c r="S1158">
        <v>32000</v>
      </c>
      <c r="T1158"/>
      <c r="U1158" s="9"/>
      <c r="V1158" s="9"/>
      <c r="W1158" s="9"/>
      <c r="X1158" s="9"/>
    </row>
    <row r="1159" spans="1:24">
      <c r="A1159" s="13" t="s">
        <v>19</v>
      </c>
      <c r="B1159" s="1"/>
      <c r="C1159" s="1" t="s">
        <v>20</v>
      </c>
      <c r="D1159" s="3">
        <v>32000</v>
      </c>
      <c r="E1159"/>
      <c r="F1159"/>
      <c r="G1159"/>
      <c r="H1159"/>
      <c r="I1159"/>
      <c r="J1159"/>
      <c r="K1159"/>
      <c r="L1159"/>
      <c r="M1159" s="18" t="s">
        <v>371</v>
      </c>
      <c r="N1159" t="s">
        <v>1166</v>
      </c>
      <c r="O1159" t="s">
        <v>1395</v>
      </c>
      <c r="P1159" s="1" t="s">
        <v>495</v>
      </c>
      <c r="Q1159" s="13" t="s">
        <v>25</v>
      </c>
      <c r="R1159">
        <v>1</v>
      </c>
      <c r="S1159">
        <v>32000</v>
      </c>
      <c r="T1159"/>
      <c r="U1159" s="9"/>
      <c r="V1159" s="9"/>
      <c r="W1159" s="9"/>
      <c r="X1159" s="9"/>
    </row>
    <row r="1160" spans="1:24">
      <c r="A1160" s="13" t="s">
        <v>19</v>
      </c>
      <c r="B1160" s="1"/>
      <c r="C1160" s="1" t="s">
        <v>20</v>
      </c>
      <c r="D1160" s="3">
        <v>64000</v>
      </c>
      <c r="E1160"/>
      <c r="F1160"/>
      <c r="G1160"/>
      <c r="H1160"/>
      <c r="I1160"/>
      <c r="J1160"/>
      <c r="K1160"/>
      <c r="L1160"/>
      <c r="M1160" s="18" t="s">
        <v>371</v>
      </c>
      <c r="N1160" t="s">
        <v>1166</v>
      </c>
      <c r="O1160" t="s">
        <v>1395</v>
      </c>
      <c r="P1160" s="1" t="s">
        <v>837</v>
      </c>
      <c r="Q1160" s="13" t="s">
        <v>25</v>
      </c>
      <c r="R1160">
        <v>2</v>
      </c>
      <c r="S1160">
        <v>32000</v>
      </c>
      <c r="T1160"/>
      <c r="U1160" s="9"/>
      <c r="V1160" s="9"/>
      <c r="W1160" s="9"/>
      <c r="X1160" s="9"/>
    </row>
    <row r="1161" spans="1:24">
      <c r="A1161" s="13" t="s">
        <v>19</v>
      </c>
      <c r="B1161" s="1"/>
      <c r="C1161" s="1" t="s">
        <v>20</v>
      </c>
      <c r="D1161" s="3">
        <v>32000</v>
      </c>
      <c r="E1161"/>
      <c r="F1161"/>
      <c r="G1161"/>
      <c r="H1161"/>
      <c r="I1161"/>
      <c r="J1161"/>
      <c r="K1161"/>
      <c r="L1161"/>
      <c r="M1161" s="18" t="s">
        <v>371</v>
      </c>
      <c r="N1161" t="s">
        <v>1166</v>
      </c>
      <c r="O1161" t="s">
        <v>1395</v>
      </c>
      <c r="P1161" s="1" t="s">
        <v>864</v>
      </c>
      <c r="Q1161" s="13" t="s">
        <v>25</v>
      </c>
      <c r="R1161">
        <v>1</v>
      </c>
      <c r="S1161">
        <v>32000</v>
      </c>
      <c r="T1161"/>
      <c r="U1161" s="9"/>
      <c r="V1161" s="9"/>
      <c r="W1161" s="9"/>
      <c r="X1161" s="9"/>
    </row>
    <row r="1162" spans="1:24">
      <c r="A1162" s="13" t="s">
        <v>19</v>
      </c>
      <c r="B1162" s="1"/>
      <c r="C1162" s="1" t="s">
        <v>20</v>
      </c>
      <c r="D1162" s="3">
        <v>64000</v>
      </c>
      <c r="E1162"/>
      <c r="F1162"/>
      <c r="G1162"/>
      <c r="H1162"/>
      <c r="I1162"/>
      <c r="J1162"/>
      <c r="K1162"/>
      <c r="L1162"/>
      <c r="M1162" s="18" t="s">
        <v>371</v>
      </c>
      <c r="N1162" t="s">
        <v>1166</v>
      </c>
      <c r="O1162" t="s">
        <v>1395</v>
      </c>
      <c r="P1162" s="1" t="s">
        <v>865</v>
      </c>
      <c r="Q1162" s="13" t="s">
        <v>25</v>
      </c>
      <c r="R1162">
        <v>2</v>
      </c>
      <c r="S1162">
        <v>32000</v>
      </c>
      <c r="T1162"/>
      <c r="U1162" s="9"/>
      <c r="V1162" s="9"/>
      <c r="W1162" s="9"/>
      <c r="X1162" s="9"/>
    </row>
    <row r="1163" spans="1:24">
      <c r="A1163" s="13" t="s">
        <v>19</v>
      </c>
      <c r="B1163" s="1"/>
      <c r="C1163" s="1" t="s">
        <v>20</v>
      </c>
      <c r="D1163" s="3">
        <v>64000</v>
      </c>
      <c r="E1163"/>
      <c r="F1163"/>
      <c r="G1163"/>
      <c r="H1163"/>
      <c r="I1163"/>
      <c r="J1163"/>
      <c r="K1163"/>
      <c r="L1163"/>
      <c r="M1163" s="18" t="s">
        <v>371</v>
      </c>
      <c r="N1163" t="s">
        <v>1166</v>
      </c>
      <c r="O1163" t="s">
        <v>1395</v>
      </c>
      <c r="P1163" s="1" t="s">
        <v>866</v>
      </c>
      <c r="Q1163" s="13" t="s">
        <v>25</v>
      </c>
      <c r="R1163">
        <v>2</v>
      </c>
      <c r="S1163">
        <v>32000</v>
      </c>
      <c r="T1163"/>
      <c r="U1163" s="9"/>
      <c r="V1163" s="9"/>
      <c r="W1163" s="9"/>
      <c r="X1163" s="9"/>
    </row>
    <row r="1164" spans="1:24">
      <c r="A1164" s="13" t="s">
        <v>19</v>
      </c>
      <c r="B1164" s="1"/>
      <c r="C1164" s="1" t="s">
        <v>20</v>
      </c>
      <c r="D1164" s="3">
        <v>64000</v>
      </c>
      <c r="E1164"/>
      <c r="F1164"/>
      <c r="G1164"/>
      <c r="H1164"/>
      <c r="I1164"/>
      <c r="J1164"/>
      <c r="K1164"/>
      <c r="L1164"/>
      <c r="M1164" s="18" t="s">
        <v>371</v>
      </c>
      <c r="N1164" t="s">
        <v>1166</v>
      </c>
      <c r="O1164" t="s">
        <v>1395</v>
      </c>
      <c r="P1164" s="1" t="s">
        <v>867</v>
      </c>
      <c r="Q1164" s="13" t="s">
        <v>25</v>
      </c>
      <c r="R1164">
        <v>2</v>
      </c>
      <c r="S1164">
        <v>32000</v>
      </c>
      <c r="T1164"/>
      <c r="U1164" s="9"/>
      <c r="V1164" s="9"/>
      <c r="W1164" s="9"/>
      <c r="X1164" s="9"/>
    </row>
    <row r="1165" spans="1:24">
      <c r="A1165" s="13" t="s">
        <v>19</v>
      </c>
      <c r="B1165" s="1"/>
      <c r="C1165" s="1" t="s">
        <v>26</v>
      </c>
      <c r="D1165" s="3">
        <v>37000</v>
      </c>
      <c r="E1165"/>
      <c r="F1165"/>
      <c r="G1165"/>
      <c r="H1165"/>
      <c r="I1165"/>
      <c r="J1165"/>
      <c r="K1165"/>
      <c r="L1165"/>
      <c r="M1165" s="18" t="s">
        <v>371</v>
      </c>
      <c r="N1165" t="s">
        <v>1166</v>
      </c>
      <c r="O1165" t="s">
        <v>1395</v>
      </c>
      <c r="P1165" s="1" t="s">
        <v>868</v>
      </c>
      <c r="Q1165" s="13" t="s">
        <v>25</v>
      </c>
      <c r="R1165">
        <v>1</v>
      </c>
      <c r="S1165">
        <v>37000</v>
      </c>
      <c r="T1165"/>
      <c r="U1165" s="9"/>
      <c r="V1165" s="9"/>
      <c r="W1165" s="9"/>
      <c r="X1165" s="9"/>
    </row>
    <row r="1166" spans="1:24">
      <c r="A1166" s="13" t="s">
        <v>19</v>
      </c>
      <c r="B1166" s="1"/>
      <c r="C1166" s="1" t="s">
        <v>26</v>
      </c>
      <c r="D1166" s="3">
        <v>74000</v>
      </c>
      <c r="E1166"/>
      <c r="F1166"/>
      <c r="G1166"/>
      <c r="H1166"/>
      <c r="I1166"/>
      <c r="J1166"/>
      <c r="K1166"/>
      <c r="L1166"/>
      <c r="M1166" s="18" t="s">
        <v>371</v>
      </c>
      <c r="N1166" t="s">
        <v>1166</v>
      </c>
      <c r="O1166" t="s">
        <v>1395</v>
      </c>
      <c r="P1166" s="1" t="s">
        <v>659</v>
      </c>
      <c r="Q1166" s="13" t="s">
        <v>25</v>
      </c>
      <c r="R1166">
        <v>2</v>
      </c>
      <c r="S1166">
        <v>37000</v>
      </c>
      <c r="T1166"/>
      <c r="U1166" s="9"/>
      <c r="V1166" s="9"/>
      <c r="W1166" s="9"/>
      <c r="X1166" s="9"/>
    </row>
    <row r="1167" spans="1:24">
      <c r="A1167" s="13" t="s">
        <v>19</v>
      </c>
      <c r="B1167" s="1"/>
      <c r="C1167" s="1" t="s">
        <v>26</v>
      </c>
      <c r="D1167" s="3">
        <v>37000</v>
      </c>
      <c r="E1167"/>
      <c r="F1167"/>
      <c r="G1167"/>
      <c r="H1167"/>
      <c r="I1167"/>
      <c r="J1167"/>
      <c r="K1167"/>
      <c r="L1167"/>
      <c r="M1167" s="18" t="s">
        <v>371</v>
      </c>
      <c r="N1167" t="s">
        <v>1166</v>
      </c>
      <c r="O1167" t="s">
        <v>1395</v>
      </c>
      <c r="P1167" s="1" t="s">
        <v>609</v>
      </c>
      <c r="Q1167" s="13" t="s">
        <v>25</v>
      </c>
      <c r="R1167">
        <v>1</v>
      </c>
      <c r="S1167">
        <v>37000</v>
      </c>
      <c r="T1167"/>
      <c r="U1167" s="9"/>
      <c r="V1167" s="9"/>
      <c r="W1167" s="9"/>
      <c r="X1167" s="9"/>
    </row>
    <row r="1168" spans="1:24">
      <c r="A1168" s="13" t="s">
        <v>19</v>
      </c>
      <c r="B1168" s="1"/>
      <c r="C1168" s="1" t="s">
        <v>26</v>
      </c>
      <c r="D1168" s="3">
        <v>37000</v>
      </c>
      <c r="E1168"/>
      <c r="F1168"/>
      <c r="G1168"/>
      <c r="H1168"/>
      <c r="I1168"/>
      <c r="J1168"/>
      <c r="K1168"/>
      <c r="L1168"/>
      <c r="M1168" s="18" t="s">
        <v>371</v>
      </c>
      <c r="N1168" t="s">
        <v>1166</v>
      </c>
      <c r="O1168" t="s">
        <v>1395</v>
      </c>
      <c r="P1168" s="1" t="s">
        <v>869</v>
      </c>
      <c r="Q1168" s="13" t="s">
        <v>25</v>
      </c>
      <c r="R1168">
        <v>1</v>
      </c>
      <c r="S1168">
        <v>37000</v>
      </c>
      <c r="T1168"/>
      <c r="U1168" s="9"/>
      <c r="V1168" s="9"/>
      <c r="W1168" s="9"/>
      <c r="X1168" s="9"/>
    </row>
    <row r="1169" spans="1:24">
      <c r="A1169" s="13" t="s">
        <v>19</v>
      </c>
      <c r="B1169" s="1"/>
      <c r="C1169" s="1" t="s">
        <v>26</v>
      </c>
      <c r="D1169" s="3">
        <v>37000</v>
      </c>
      <c r="E1169"/>
      <c r="F1169"/>
      <c r="G1169"/>
      <c r="H1169"/>
      <c r="I1169"/>
      <c r="J1169"/>
      <c r="K1169"/>
      <c r="L1169"/>
      <c r="M1169" s="18" t="s">
        <v>371</v>
      </c>
      <c r="N1169" t="s">
        <v>1166</v>
      </c>
      <c r="O1169" t="s">
        <v>1395</v>
      </c>
      <c r="P1169" s="1" t="s">
        <v>623</v>
      </c>
      <c r="Q1169" s="13" t="s">
        <v>25</v>
      </c>
      <c r="R1169">
        <v>1</v>
      </c>
      <c r="S1169">
        <v>37000</v>
      </c>
      <c r="T1169"/>
      <c r="U1169" s="9"/>
      <c r="V1169" s="9"/>
      <c r="W1169" s="9"/>
      <c r="X1169" s="9"/>
    </row>
    <row r="1170" spans="1:24">
      <c r="A1170" s="13" t="s">
        <v>19</v>
      </c>
      <c r="B1170" s="1"/>
      <c r="C1170" s="1" t="s">
        <v>26</v>
      </c>
      <c r="D1170" s="3">
        <v>74000</v>
      </c>
      <c r="E1170"/>
      <c r="F1170"/>
      <c r="G1170"/>
      <c r="H1170"/>
      <c r="I1170"/>
      <c r="J1170"/>
      <c r="K1170"/>
      <c r="L1170"/>
      <c r="M1170" s="18" t="s">
        <v>371</v>
      </c>
      <c r="N1170" t="s">
        <v>1166</v>
      </c>
      <c r="O1170" t="s">
        <v>1395</v>
      </c>
      <c r="P1170" s="1" t="s">
        <v>609</v>
      </c>
      <c r="Q1170" s="13" t="s">
        <v>25</v>
      </c>
      <c r="R1170">
        <v>2</v>
      </c>
      <c r="S1170">
        <v>37000</v>
      </c>
      <c r="T1170"/>
      <c r="U1170" s="9"/>
      <c r="V1170" s="9"/>
      <c r="W1170" s="9"/>
      <c r="X1170" s="9"/>
    </row>
    <row r="1171" spans="1:24">
      <c r="A1171" s="13" t="s">
        <v>19</v>
      </c>
      <c r="B1171" s="1"/>
      <c r="C1171" s="1" t="s">
        <v>26</v>
      </c>
      <c r="D1171" s="3">
        <v>37000</v>
      </c>
      <c r="E1171"/>
      <c r="F1171"/>
      <c r="G1171"/>
      <c r="H1171"/>
      <c r="I1171"/>
      <c r="J1171"/>
      <c r="K1171"/>
      <c r="L1171"/>
      <c r="M1171" s="18" t="s">
        <v>371</v>
      </c>
      <c r="N1171" t="s">
        <v>1166</v>
      </c>
      <c r="O1171" t="s">
        <v>1395</v>
      </c>
      <c r="P1171" s="1" t="s">
        <v>770</v>
      </c>
      <c r="Q1171" s="13" t="s">
        <v>25</v>
      </c>
      <c r="R1171">
        <v>1</v>
      </c>
      <c r="S1171">
        <v>37000</v>
      </c>
      <c r="T1171"/>
      <c r="U1171" s="9"/>
      <c r="V1171" s="9"/>
      <c r="W1171" s="9"/>
      <c r="X1171" s="9"/>
    </row>
    <row r="1172" spans="1:24">
      <c r="A1172" s="13" t="s">
        <v>19</v>
      </c>
      <c r="B1172" s="1"/>
      <c r="C1172" s="1" t="s">
        <v>26</v>
      </c>
      <c r="D1172" s="3">
        <v>37000</v>
      </c>
      <c r="E1172"/>
      <c r="F1172"/>
      <c r="G1172"/>
      <c r="H1172"/>
      <c r="I1172"/>
      <c r="J1172"/>
      <c r="K1172"/>
      <c r="L1172"/>
      <c r="M1172" s="18" t="s">
        <v>371</v>
      </c>
      <c r="N1172" t="s">
        <v>1166</v>
      </c>
      <c r="O1172" t="s">
        <v>1395</v>
      </c>
      <c r="P1172" s="1" t="s">
        <v>870</v>
      </c>
      <c r="Q1172" s="13" t="s">
        <v>25</v>
      </c>
      <c r="R1172">
        <v>1</v>
      </c>
      <c r="S1172">
        <v>37000</v>
      </c>
      <c r="T1172"/>
      <c r="U1172" s="9"/>
      <c r="V1172" s="9"/>
      <c r="W1172" s="9"/>
      <c r="X1172" s="9"/>
    </row>
    <row r="1173" spans="1:24">
      <c r="A1173" s="13" t="s">
        <v>19</v>
      </c>
      <c r="B1173" s="1"/>
      <c r="C1173" s="1" t="s">
        <v>26</v>
      </c>
      <c r="D1173" s="3">
        <v>37000</v>
      </c>
      <c r="E1173"/>
      <c r="F1173"/>
      <c r="G1173"/>
      <c r="H1173"/>
      <c r="I1173"/>
      <c r="J1173"/>
      <c r="K1173"/>
      <c r="L1173"/>
      <c r="M1173" s="18" t="s">
        <v>371</v>
      </c>
      <c r="N1173" t="s">
        <v>1166</v>
      </c>
      <c r="O1173" t="s">
        <v>1395</v>
      </c>
      <c r="P1173" s="1" t="s">
        <v>623</v>
      </c>
      <c r="Q1173" s="13" t="s">
        <v>25</v>
      </c>
      <c r="R1173">
        <v>1</v>
      </c>
      <c r="S1173">
        <v>37000</v>
      </c>
      <c r="T1173"/>
      <c r="U1173" s="9"/>
      <c r="V1173" s="9"/>
      <c r="W1173" s="9"/>
      <c r="X1173" s="9"/>
    </row>
    <row r="1174" spans="1:24">
      <c r="A1174" s="13" t="s">
        <v>19</v>
      </c>
      <c r="B1174" s="1"/>
      <c r="C1174" s="1" t="s">
        <v>26</v>
      </c>
      <c r="D1174" s="3">
        <v>74000</v>
      </c>
      <c r="E1174"/>
      <c r="F1174"/>
      <c r="G1174"/>
      <c r="H1174"/>
      <c r="I1174"/>
      <c r="J1174"/>
      <c r="K1174"/>
      <c r="L1174"/>
      <c r="M1174" s="18" t="s">
        <v>371</v>
      </c>
      <c r="N1174" t="s">
        <v>1166</v>
      </c>
      <c r="O1174" t="s">
        <v>1395</v>
      </c>
      <c r="P1174" s="1" t="s">
        <v>589</v>
      </c>
      <c r="Q1174" s="13" t="s">
        <v>25</v>
      </c>
      <c r="R1174">
        <v>2</v>
      </c>
      <c r="S1174">
        <v>37000</v>
      </c>
      <c r="T1174"/>
      <c r="U1174" s="9"/>
      <c r="V1174" s="9"/>
      <c r="W1174" s="9"/>
      <c r="X1174" s="9"/>
    </row>
    <row r="1175" spans="1:24">
      <c r="A1175" s="13" t="s">
        <v>19</v>
      </c>
      <c r="B1175" s="1"/>
      <c r="C1175" s="1" t="s">
        <v>29</v>
      </c>
      <c r="D1175" s="3">
        <v>10000</v>
      </c>
      <c r="E1175"/>
      <c r="F1175"/>
      <c r="G1175"/>
      <c r="H1175"/>
      <c r="I1175"/>
      <c r="J1175"/>
      <c r="K1175"/>
      <c r="L1175"/>
      <c r="M1175" s="18" t="s">
        <v>371</v>
      </c>
      <c r="N1175" t="s">
        <v>1166</v>
      </c>
      <c r="O1175" t="s">
        <v>1395</v>
      </c>
      <c r="P1175" s="1" t="s">
        <v>539</v>
      </c>
      <c r="Q1175" s="13" t="s">
        <v>25</v>
      </c>
      <c r="R1175">
        <v>2</v>
      </c>
      <c r="S1175">
        <v>5000</v>
      </c>
      <c r="T1175"/>
      <c r="U1175" s="9"/>
      <c r="V1175" s="9"/>
      <c r="W1175" s="9"/>
      <c r="X1175" s="9"/>
    </row>
    <row r="1176" spans="1:24">
      <c r="A1176" s="13" t="s">
        <v>19</v>
      </c>
      <c r="B1176" s="1"/>
      <c r="C1176" s="1" t="s">
        <v>29</v>
      </c>
      <c r="D1176" s="3">
        <v>5000</v>
      </c>
      <c r="E1176"/>
      <c r="F1176"/>
      <c r="G1176"/>
      <c r="H1176"/>
      <c r="I1176"/>
      <c r="J1176"/>
      <c r="K1176"/>
      <c r="L1176"/>
      <c r="M1176" s="18" t="s">
        <v>371</v>
      </c>
      <c r="N1176" t="s">
        <v>1166</v>
      </c>
      <c r="O1176" t="s">
        <v>1395</v>
      </c>
      <c r="P1176" s="1" t="s">
        <v>499</v>
      </c>
      <c r="Q1176" s="13" t="s">
        <v>25</v>
      </c>
      <c r="R1176">
        <v>1</v>
      </c>
      <c r="S1176">
        <v>5000</v>
      </c>
      <c r="T1176"/>
      <c r="U1176" s="9"/>
      <c r="V1176" s="9"/>
      <c r="W1176" s="9"/>
      <c r="X1176" s="9"/>
    </row>
    <row r="1177" spans="1:24">
      <c r="A1177" s="13" t="s">
        <v>19</v>
      </c>
      <c r="B1177" s="1"/>
      <c r="C1177" s="1" t="s">
        <v>29</v>
      </c>
      <c r="D1177" s="3">
        <v>10000</v>
      </c>
      <c r="E1177"/>
      <c r="F1177"/>
      <c r="G1177"/>
      <c r="H1177"/>
      <c r="I1177"/>
      <c r="J1177"/>
      <c r="K1177"/>
      <c r="L1177"/>
      <c r="M1177" s="18" t="s">
        <v>371</v>
      </c>
      <c r="N1177" t="s">
        <v>1166</v>
      </c>
      <c r="O1177" t="s">
        <v>1395</v>
      </c>
      <c r="P1177" s="1" t="s">
        <v>840</v>
      </c>
      <c r="Q1177" s="13" t="s">
        <v>25</v>
      </c>
      <c r="R1177">
        <v>2</v>
      </c>
      <c r="S1177">
        <v>5000</v>
      </c>
      <c r="T1177"/>
      <c r="U1177" s="9"/>
      <c r="V1177" s="9"/>
      <c r="W1177" s="9"/>
      <c r="X1177" s="9"/>
    </row>
    <row r="1178" spans="1:24">
      <c r="A1178" s="13" t="s">
        <v>19</v>
      </c>
      <c r="B1178" s="1"/>
      <c r="C1178" s="1" t="s">
        <v>29</v>
      </c>
      <c r="D1178" s="3">
        <v>5000</v>
      </c>
      <c r="E1178"/>
      <c r="F1178"/>
      <c r="G1178"/>
      <c r="H1178"/>
      <c r="I1178"/>
      <c r="J1178"/>
      <c r="K1178"/>
      <c r="L1178"/>
      <c r="M1178" s="18" t="s">
        <v>371</v>
      </c>
      <c r="N1178" t="s">
        <v>1166</v>
      </c>
      <c r="O1178" t="s">
        <v>1395</v>
      </c>
      <c r="P1178" s="1" t="s">
        <v>871</v>
      </c>
      <c r="Q1178" s="13" t="s">
        <v>25</v>
      </c>
      <c r="R1178">
        <v>1</v>
      </c>
      <c r="S1178">
        <v>5000</v>
      </c>
      <c r="T1178"/>
      <c r="U1178" s="9"/>
      <c r="V1178" s="9"/>
      <c r="W1178" s="9"/>
      <c r="X1178" s="9"/>
    </row>
    <row r="1179" spans="1:24">
      <c r="A1179" s="13" t="s">
        <v>19</v>
      </c>
      <c r="B1179" s="1"/>
      <c r="C1179" s="1" t="s">
        <v>29</v>
      </c>
      <c r="D1179" s="3">
        <v>10000</v>
      </c>
      <c r="E1179"/>
      <c r="F1179"/>
      <c r="G1179"/>
      <c r="H1179"/>
      <c r="I1179"/>
      <c r="J1179"/>
      <c r="K1179"/>
      <c r="L1179"/>
      <c r="M1179" s="18" t="s">
        <v>371</v>
      </c>
      <c r="N1179" t="s">
        <v>1166</v>
      </c>
      <c r="O1179" t="s">
        <v>1395</v>
      </c>
      <c r="P1179" s="1" t="s">
        <v>872</v>
      </c>
      <c r="Q1179" s="13" t="s">
        <v>25</v>
      </c>
      <c r="R1179">
        <v>2</v>
      </c>
      <c r="S1179">
        <v>5000</v>
      </c>
      <c r="T1179"/>
      <c r="U1179" s="9"/>
      <c r="V1179" s="9"/>
      <c r="W1179" s="9"/>
      <c r="X1179" s="9"/>
    </row>
    <row r="1180" spans="1:24">
      <c r="A1180" s="13" t="s">
        <v>19</v>
      </c>
      <c r="B1180" s="1"/>
      <c r="C1180" s="1" t="s">
        <v>29</v>
      </c>
      <c r="D1180" s="3">
        <v>10000</v>
      </c>
      <c r="E1180"/>
      <c r="F1180"/>
      <c r="G1180"/>
      <c r="H1180"/>
      <c r="I1180"/>
      <c r="J1180"/>
      <c r="K1180"/>
      <c r="L1180"/>
      <c r="M1180" s="18" t="s">
        <v>371</v>
      </c>
      <c r="N1180" t="s">
        <v>1166</v>
      </c>
      <c r="O1180" t="s">
        <v>1395</v>
      </c>
      <c r="P1180" s="1" t="s">
        <v>873</v>
      </c>
      <c r="Q1180" s="13" t="s">
        <v>25</v>
      </c>
      <c r="R1180">
        <v>2</v>
      </c>
      <c r="S1180">
        <v>5000</v>
      </c>
      <c r="T1180"/>
      <c r="U1180" s="9"/>
      <c r="V1180" s="9"/>
      <c r="W1180" s="9"/>
      <c r="X1180" s="9"/>
    </row>
    <row r="1181" spans="1:24">
      <c r="A1181" s="13" t="s">
        <v>19</v>
      </c>
      <c r="B1181" s="1"/>
      <c r="C1181" s="1" t="s">
        <v>29</v>
      </c>
      <c r="D1181" s="3">
        <v>10000</v>
      </c>
      <c r="E1181"/>
      <c r="F1181"/>
      <c r="G1181"/>
      <c r="H1181"/>
      <c r="I1181"/>
      <c r="J1181"/>
      <c r="K1181"/>
      <c r="L1181"/>
      <c r="M1181" s="18" t="s">
        <v>371</v>
      </c>
      <c r="N1181" t="s">
        <v>1166</v>
      </c>
      <c r="O1181" t="s">
        <v>1395</v>
      </c>
      <c r="P1181" s="1" t="s">
        <v>874</v>
      </c>
      <c r="Q1181" s="13" t="s">
        <v>25</v>
      </c>
      <c r="R1181">
        <v>2</v>
      </c>
      <c r="S1181">
        <v>5000</v>
      </c>
      <c r="T1181"/>
      <c r="U1181" s="9"/>
      <c r="V1181" s="9"/>
      <c r="W1181" s="9"/>
      <c r="X1181" s="9"/>
    </row>
    <row r="1182" spans="1:24">
      <c r="A1182" s="13" t="s">
        <v>19</v>
      </c>
      <c r="B1182" s="1"/>
      <c r="C1182" s="1" t="s">
        <v>32</v>
      </c>
      <c r="D1182" s="3">
        <v>5000</v>
      </c>
      <c r="E1182"/>
      <c r="F1182"/>
      <c r="G1182"/>
      <c r="H1182"/>
      <c r="I1182"/>
      <c r="J1182"/>
      <c r="K1182"/>
      <c r="L1182"/>
      <c r="M1182" s="18" t="s">
        <v>371</v>
      </c>
      <c r="N1182" t="s">
        <v>1166</v>
      </c>
      <c r="O1182" t="s">
        <v>1395</v>
      </c>
      <c r="P1182" s="1" t="s">
        <v>875</v>
      </c>
      <c r="Q1182" s="13" t="s">
        <v>25</v>
      </c>
      <c r="R1182">
        <v>1</v>
      </c>
      <c r="S1182">
        <v>5000</v>
      </c>
      <c r="T1182"/>
      <c r="U1182" s="9"/>
      <c r="V1182" s="9"/>
      <c r="W1182" s="9"/>
      <c r="X1182" s="9"/>
    </row>
    <row r="1183" spans="1:24">
      <c r="A1183" s="13" t="s">
        <v>19</v>
      </c>
      <c r="B1183" s="1"/>
      <c r="C1183" s="1" t="s">
        <v>32</v>
      </c>
      <c r="D1183" s="3">
        <v>10000</v>
      </c>
      <c r="E1183"/>
      <c r="F1183"/>
      <c r="G1183"/>
      <c r="H1183"/>
      <c r="I1183"/>
      <c r="J1183"/>
      <c r="K1183"/>
      <c r="L1183"/>
      <c r="M1183" s="18" t="s">
        <v>371</v>
      </c>
      <c r="N1183" t="s">
        <v>1166</v>
      </c>
      <c r="O1183" t="s">
        <v>1395</v>
      </c>
      <c r="P1183" s="1" t="s">
        <v>661</v>
      </c>
      <c r="Q1183" s="13" t="s">
        <v>25</v>
      </c>
      <c r="R1183">
        <v>2</v>
      </c>
      <c r="S1183">
        <v>5000</v>
      </c>
      <c r="T1183"/>
      <c r="U1183" s="9"/>
      <c r="V1183" s="9"/>
      <c r="W1183" s="9"/>
      <c r="X1183" s="9"/>
    </row>
    <row r="1184" spans="1:24">
      <c r="A1184" s="13" t="s">
        <v>19</v>
      </c>
      <c r="B1184" s="1"/>
      <c r="C1184" s="1" t="s">
        <v>32</v>
      </c>
      <c r="D1184" s="3">
        <v>5000</v>
      </c>
      <c r="E1184"/>
      <c r="F1184"/>
      <c r="G1184"/>
      <c r="H1184"/>
      <c r="I1184"/>
      <c r="J1184"/>
      <c r="K1184"/>
      <c r="L1184"/>
      <c r="M1184" s="18" t="s">
        <v>371</v>
      </c>
      <c r="N1184" t="s">
        <v>1166</v>
      </c>
      <c r="O1184" t="s">
        <v>1395</v>
      </c>
      <c r="P1184" s="1" t="s">
        <v>619</v>
      </c>
      <c r="Q1184" s="13" t="s">
        <v>25</v>
      </c>
      <c r="R1184">
        <v>1</v>
      </c>
      <c r="S1184">
        <v>5000</v>
      </c>
      <c r="T1184"/>
      <c r="U1184" s="9"/>
      <c r="V1184" s="9"/>
      <c r="W1184" s="9"/>
      <c r="X1184" s="9"/>
    </row>
    <row r="1185" spans="1:24">
      <c r="A1185" s="13" t="s">
        <v>19</v>
      </c>
      <c r="B1185" s="1"/>
      <c r="C1185" s="1" t="s">
        <v>32</v>
      </c>
      <c r="D1185" s="3">
        <v>5000</v>
      </c>
      <c r="E1185"/>
      <c r="F1185"/>
      <c r="G1185"/>
      <c r="H1185"/>
      <c r="I1185"/>
      <c r="J1185"/>
      <c r="K1185"/>
      <c r="L1185"/>
      <c r="M1185" s="18" t="s">
        <v>371</v>
      </c>
      <c r="N1185" t="s">
        <v>1166</v>
      </c>
      <c r="O1185" t="s">
        <v>1395</v>
      </c>
      <c r="P1185" s="1" t="s">
        <v>876</v>
      </c>
      <c r="Q1185" s="13" t="s">
        <v>25</v>
      </c>
      <c r="R1185">
        <v>1</v>
      </c>
      <c r="S1185">
        <v>5000</v>
      </c>
      <c r="T1185"/>
      <c r="U1185" s="9"/>
      <c r="V1185" s="9"/>
      <c r="W1185" s="9"/>
      <c r="X1185" s="9"/>
    </row>
    <row r="1186" spans="1:24">
      <c r="A1186" s="13" t="s">
        <v>19</v>
      </c>
      <c r="B1186" s="1"/>
      <c r="C1186" s="1" t="s">
        <v>32</v>
      </c>
      <c r="D1186" s="3">
        <v>5000</v>
      </c>
      <c r="E1186"/>
      <c r="F1186"/>
      <c r="G1186"/>
      <c r="H1186"/>
      <c r="I1186"/>
      <c r="J1186"/>
      <c r="K1186"/>
      <c r="L1186"/>
      <c r="M1186" s="18" t="s">
        <v>371</v>
      </c>
      <c r="N1186" t="s">
        <v>1166</v>
      </c>
      <c r="O1186" t="s">
        <v>1395</v>
      </c>
      <c r="P1186" s="1" t="s">
        <v>628</v>
      </c>
      <c r="Q1186" s="13" t="s">
        <v>25</v>
      </c>
      <c r="R1186">
        <v>1</v>
      </c>
      <c r="S1186">
        <v>5000</v>
      </c>
      <c r="T1186"/>
      <c r="U1186" s="9"/>
      <c r="V1186" s="9"/>
      <c r="W1186" s="9"/>
      <c r="X1186" s="9"/>
    </row>
    <row r="1187" spans="1:24">
      <c r="A1187" s="13" t="s">
        <v>19</v>
      </c>
      <c r="B1187" s="1"/>
      <c r="C1187" s="1" t="s">
        <v>32</v>
      </c>
      <c r="D1187" s="3">
        <v>10000</v>
      </c>
      <c r="E1187"/>
      <c r="F1187"/>
      <c r="G1187"/>
      <c r="H1187"/>
      <c r="I1187"/>
      <c r="J1187"/>
      <c r="K1187"/>
      <c r="L1187"/>
      <c r="M1187" s="18" t="s">
        <v>371</v>
      </c>
      <c r="N1187" t="s">
        <v>1166</v>
      </c>
      <c r="O1187" t="s">
        <v>1395</v>
      </c>
      <c r="P1187" s="1" t="s">
        <v>619</v>
      </c>
      <c r="Q1187" s="13" t="s">
        <v>25</v>
      </c>
      <c r="R1187">
        <v>2</v>
      </c>
      <c r="S1187">
        <v>5000</v>
      </c>
      <c r="T1187"/>
      <c r="U1187" s="9"/>
      <c r="V1187" s="9"/>
      <c r="W1187" s="9"/>
      <c r="X1187" s="9"/>
    </row>
    <row r="1188" spans="1:24">
      <c r="A1188" s="13" t="s">
        <v>19</v>
      </c>
      <c r="B1188" s="1"/>
      <c r="C1188" s="1" t="s">
        <v>32</v>
      </c>
      <c r="D1188" s="3">
        <v>5000</v>
      </c>
      <c r="E1188"/>
      <c r="F1188"/>
      <c r="G1188"/>
      <c r="H1188"/>
      <c r="I1188"/>
      <c r="J1188"/>
      <c r="K1188"/>
      <c r="L1188"/>
      <c r="M1188" s="18" t="s">
        <v>371</v>
      </c>
      <c r="N1188" t="s">
        <v>1166</v>
      </c>
      <c r="O1188" t="s">
        <v>1395</v>
      </c>
      <c r="P1188" s="1" t="s">
        <v>777</v>
      </c>
      <c r="Q1188" s="13" t="s">
        <v>25</v>
      </c>
      <c r="R1188">
        <v>1</v>
      </c>
      <c r="S1188">
        <v>5000</v>
      </c>
      <c r="T1188"/>
      <c r="U1188" s="9"/>
      <c r="V1188" s="9"/>
      <c r="W1188" s="9"/>
      <c r="X1188" s="9"/>
    </row>
    <row r="1189" spans="1:24">
      <c r="A1189" s="13" t="s">
        <v>19</v>
      </c>
      <c r="B1189" s="1"/>
      <c r="C1189" s="1" t="s">
        <v>32</v>
      </c>
      <c r="D1189" s="3">
        <v>5000</v>
      </c>
      <c r="E1189"/>
      <c r="F1189"/>
      <c r="G1189"/>
      <c r="H1189"/>
      <c r="I1189"/>
      <c r="J1189"/>
      <c r="K1189"/>
      <c r="L1189"/>
      <c r="M1189" s="18" t="s">
        <v>371</v>
      </c>
      <c r="N1189" t="s">
        <v>1166</v>
      </c>
      <c r="O1189" t="s">
        <v>1395</v>
      </c>
      <c r="P1189" s="1" t="s">
        <v>877</v>
      </c>
      <c r="Q1189" s="13" t="s">
        <v>25</v>
      </c>
      <c r="R1189">
        <v>1</v>
      </c>
      <c r="S1189">
        <v>5000</v>
      </c>
      <c r="T1189"/>
      <c r="U1189" s="9"/>
      <c r="V1189" s="9"/>
      <c r="W1189" s="9"/>
      <c r="X1189" s="9"/>
    </row>
    <row r="1190" spans="1:24">
      <c r="A1190" s="13" t="s">
        <v>19</v>
      </c>
      <c r="B1190" s="1"/>
      <c r="C1190" s="1" t="s">
        <v>32</v>
      </c>
      <c r="D1190" s="3">
        <v>5000</v>
      </c>
      <c r="E1190"/>
      <c r="F1190"/>
      <c r="G1190"/>
      <c r="H1190"/>
      <c r="I1190"/>
      <c r="J1190"/>
      <c r="K1190"/>
      <c r="L1190"/>
      <c r="M1190" s="18" t="s">
        <v>371</v>
      </c>
      <c r="N1190" t="s">
        <v>1166</v>
      </c>
      <c r="O1190" t="s">
        <v>1395</v>
      </c>
      <c r="P1190" s="1" t="s">
        <v>628</v>
      </c>
      <c r="Q1190" s="13" t="s">
        <v>25</v>
      </c>
      <c r="R1190">
        <v>1</v>
      </c>
      <c r="S1190">
        <v>5000</v>
      </c>
      <c r="T1190"/>
      <c r="U1190" s="9"/>
      <c r="V1190" s="9"/>
      <c r="W1190" s="9"/>
      <c r="X1190" s="9"/>
    </row>
    <row r="1191" spans="1:24">
      <c r="A1191" s="13" t="s">
        <v>19</v>
      </c>
      <c r="B1191" s="1"/>
      <c r="C1191" s="1" t="s">
        <v>32</v>
      </c>
      <c r="D1191" s="3">
        <v>10000</v>
      </c>
      <c r="E1191"/>
      <c r="F1191"/>
      <c r="G1191"/>
      <c r="H1191"/>
      <c r="I1191"/>
      <c r="J1191"/>
      <c r="K1191"/>
      <c r="L1191"/>
      <c r="M1191" s="18" t="s">
        <v>371</v>
      </c>
      <c r="N1191" t="s">
        <v>1166</v>
      </c>
      <c r="O1191" t="s">
        <v>1395</v>
      </c>
      <c r="P1191" s="1" t="s">
        <v>600</v>
      </c>
      <c r="Q1191" s="13" t="s">
        <v>25</v>
      </c>
      <c r="R1191">
        <v>2</v>
      </c>
      <c r="S1191">
        <v>5000</v>
      </c>
      <c r="T1191"/>
      <c r="U1191" s="9"/>
      <c r="V1191" s="9"/>
      <c r="W1191" s="9"/>
      <c r="X1191" s="9"/>
    </row>
    <row r="1192" spans="1:24">
      <c r="A1192" s="13"/>
      <c r="B1192" s="1"/>
      <c r="C1192" s="1"/>
      <c r="D1192" s="3" t="str">
        <f>SUBTOTAL(9,D1158:D1191)</f>
        <v>0</v>
      </c>
      <c r="E1192"/>
      <c r="F1192"/>
      <c r="G1192"/>
      <c r="H1192"/>
      <c r="I1192"/>
      <c r="J1192"/>
      <c r="K1192"/>
      <c r="L1192"/>
      <c r="M1192" s="18" t="s">
        <v>372</v>
      </c>
      <c r="N1192" t="s">
        <v>1531</v>
      </c>
      <c r="O1192" t="s">
        <v>1395</v>
      </c>
      <c r="P1192" s="1"/>
      <c r="Q1192" s="13"/>
      <c r="R1192"/>
      <c r="S1192"/>
      <c r="T1192"/>
      <c r="U1192" s="9"/>
      <c r="V1192" s="9"/>
      <c r="W1192" s="9"/>
      <c r="X1192" s="9"/>
    </row>
    <row r="1193" spans="1:24">
      <c r="A1193" s="13" t="s">
        <v>19</v>
      </c>
      <c r="B1193" s="1"/>
      <c r="C1193" s="1" t="s">
        <v>20</v>
      </c>
      <c r="D1193" s="3">
        <v>224000</v>
      </c>
      <c r="E1193"/>
      <c r="F1193"/>
      <c r="G1193"/>
      <c r="H1193"/>
      <c r="I1193"/>
      <c r="J1193"/>
      <c r="K1193"/>
      <c r="L1193"/>
      <c r="M1193" s="18" t="s">
        <v>373</v>
      </c>
      <c r="N1193" t="s">
        <v>1164</v>
      </c>
      <c r="O1193" t="s">
        <v>94</v>
      </c>
      <c r="P1193" s="1" t="s">
        <v>24</v>
      </c>
      <c r="Q1193" s="13" t="s">
        <v>1018</v>
      </c>
      <c r="R1193">
        <v>7</v>
      </c>
      <c r="S1193">
        <v>32000</v>
      </c>
      <c r="T1193"/>
      <c r="U1193" s="9"/>
      <c r="V1193" s="9"/>
      <c r="W1193" s="9"/>
      <c r="X1193" s="9"/>
    </row>
    <row r="1194" spans="1:24">
      <c r="A1194" s="13" t="s">
        <v>19</v>
      </c>
      <c r="B1194" s="1"/>
      <c r="C1194" s="1" t="s">
        <v>20</v>
      </c>
      <c r="D1194" s="3">
        <v>224000</v>
      </c>
      <c r="E1194"/>
      <c r="F1194"/>
      <c r="G1194"/>
      <c r="H1194"/>
      <c r="I1194"/>
      <c r="J1194"/>
      <c r="K1194"/>
      <c r="L1194"/>
      <c r="M1194" s="18" t="s">
        <v>373</v>
      </c>
      <c r="N1194" t="s">
        <v>1164</v>
      </c>
      <c r="O1194" t="s">
        <v>94</v>
      </c>
      <c r="P1194" s="1" t="s">
        <v>24</v>
      </c>
      <c r="Q1194" s="13" t="s">
        <v>1018</v>
      </c>
      <c r="R1194">
        <v>7</v>
      </c>
      <c r="S1194">
        <v>32000</v>
      </c>
      <c r="T1194"/>
      <c r="U1194" s="9"/>
      <c r="V1194" s="9"/>
      <c r="W1194" s="9"/>
      <c r="X1194" s="9"/>
    </row>
    <row r="1195" spans="1:24">
      <c r="A1195" s="13" t="s">
        <v>19</v>
      </c>
      <c r="B1195" s="1"/>
      <c r="C1195" s="1" t="s">
        <v>20</v>
      </c>
      <c r="D1195" s="3">
        <v>160000</v>
      </c>
      <c r="E1195"/>
      <c r="F1195"/>
      <c r="G1195"/>
      <c r="H1195"/>
      <c r="I1195"/>
      <c r="J1195"/>
      <c r="K1195"/>
      <c r="L1195"/>
      <c r="M1195" s="18" t="s">
        <v>373</v>
      </c>
      <c r="N1195" t="s">
        <v>1164</v>
      </c>
      <c r="O1195" t="s">
        <v>94</v>
      </c>
      <c r="P1195" s="1" t="s">
        <v>24</v>
      </c>
      <c r="Q1195" s="13" t="s">
        <v>1018</v>
      </c>
      <c r="R1195">
        <v>5</v>
      </c>
      <c r="S1195">
        <v>32000</v>
      </c>
      <c r="T1195"/>
      <c r="U1195" s="9"/>
      <c r="V1195" s="9"/>
      <c r="W1195" s="9"/>
      <c r="X1195" s="9"/>
    </row>
    <row r="1196" spans="1:24">
      <c r="A1196" s="13" t="s">
        <v>19</v>
      </c>
      <c r="B1196" s="1"/>
      <c r="C1196" s="1" t="s">
        <v>20</v>
      </c>
      <c r="D1196" s="3">
        <v>288000</v>
      </c>
      <c r="E1196"/>
      <c r="F1196"/>
      <c r="G1196"/>
      <c r="H1196"/>
      <c r="I1196"/>
      <c r="J1196"/>
      <c r="K1196"/>
      <c r="L1196"/>
      <c r="M1196" s="18" t="s">
        <v>373</v>
      </c>
      <c r="N1196" t="s">
        <v>1164</v>
      </c>
      <c r="O1196" t="s">
        <v>94</v>
      </c>
      <c r="P1196" s="1" t="s">
        <v>24</v>
      </c>
      <c r="Q1196" s="13" t="s">
        <v>1018</v>
      </c>
      <c r="R1196">
        <v>9</v>
      </c>
      <c r="S1196">
        <v>32000</v>
      </c>
      <c r="T1196"/>
      <c r="U1196" s="9"/>
      <c r="V1196" s="9"/>
      <c r="W1196" s="9"/>
      <c r="X1196" s="9"/>
    </row>
    <row r="1197" spans="1:24">
      <c r="A1197" s="13" t="s">
        <v>19</v>
      </c>
      <c r="B1197" s="1"/>
      <c r="C1197" s="1" t="s">
        <v>20</v>
      </c>
      <c r="D1197" s="3">
        <v>128000</v>
      </c>
      <c r="E1197"/>
      <c r="F1197"/>
      <c r="G1197"/>
      <c r="H1197"/>
      <c r="I1197"/>
      <c r="J1197"/>
      <c r="K1197"/>
      <c r="L1197"/>
      <c r="M1197" s="18" t="s">
        <v>373</v>
      </c>
      <c r="N1197" t="s">
        <v>1164</v>
      </c>
      <c r="O1197" t="s">
        <v>94</v>
      </c>
      <c r="P1197" s="1" t="s">
        <v>24</v>
      </c>
      <c r="Q1197" s="13" t="s">
        <v>1018</v>
      </c>
      <c r="R1197">
        <v>4</v>
      </c>
      <c r="S1197">
        <v>32000</v>
      </c>
      <c r="T1197"/>
      <c r="U1197" s="9"/>
      <c r="V1197" s="9"/>
      <c r="W1197" s="9"/>
      <c r="X1197" s="9"/>
    </row>
    <row r="1198" spans="1:24">
      <c r="A1198" s="13" t="s">
        <v>19</v>
      </c>
      <c r="B1198" s="1"/>
      <c r="C1198" s="1" t="s">
        <v>20</v>
      </c>
      <c r="D1198" s="3">
        <v>192000</v>
      </c>
      <c r="E1198"/>
      <c r="F1198"/>
      <c r="G1198"/>
      <c r="H1198"/>
      <c r="I1198"/>
      <c r="J1198"/>
      <c r="K1198"/>
      <c r="L1198"/>
      <c r="M1198" s="18" t="s">
        <v>373</v>
      </c>
      <c r="N1198" t="s">
        <v>1164</v>
      </c>
      <c r="O1198" t="s">
        <v>94</v>
      </c>
      <c r="P1198" s="1" t="s">
        <v>24</v>
      </c>
      <c r="Q1198" s="13" t="s">
        <v>1018</v>
      </c>
      <c r="R1198">
        <v>6</v>
      </c>
      <c r="S1198">
        <v>32000</v>
      </c>
      <c r="T1198"/>
      <c r="U1198" s="9"/>
      <c r="V1198" s="9"/>
      <c r="W1198" s="9"/>
      <c r="X1198" s="9"/>
    </row>
    <row r="1199" spans="1:24">
      <c r="A1199" s="13" t="s">
        <v>19</v>
      </c>
      <c r="B1199" s="1"/>
      <c r="C1199" s="1" t="s">
        <v>20</v>
      </c>
      <c r="D1199" s="3">
        <v>160000</v>
      </c>
      <c r="E1199"/>
      <c r="F1199"/>
      <c r="G1199"/>
      <c r="H1199"/>
      <c r="I1199"/>
      <c r="J1199"/>
      <c r="K1199"/>
      <c r="L1199"/>
      <c r="M1199" s="18" t="s">
        <v>373</v>
      </c>
      <c r="N1199" t="s">
        <v>1164</v>
      </c>
      <c r="O1199" t="s">
        <v>94</v>
      </c>
      <c r="P1199" s="1" t="s">
        <v>24</v>
      </c>
      <c r="Q1199" s="13" t="s">
        <v>1018</v>
      </c>
      <c r="R1199">
        <v>5</v>
      </c>
      <c r="S1199">
        <v>32000</v>
      </c>
      <c r="T1199"/>
      <c r="U1199" s="9"/>
      <c r="V1199" s="9"/>
      <c r="W1199" s="9"/>
      <c r="X1199" s="9"/>
    </row>
    <row r="1200" spans="1:24">
      <c r="A1200" s="13" t="s">
        <v>19</v>
      </c>
      <c r="B1200" s="1"/>
      <c r="C1200" s="1" t="s">
        <v>20</v>
      </c>
      <c r="D1200" s="3">
        <v>160000</v>
      </c>
      <c r="E1200"/>
      <c r="F1200"/>
      <c r="G1200"/>
      <c r="H1200"/>
      <c r="I1200"/>
      <c r="J1200"/>
      <c r="K1200"/>
      <c r="L1200"/>
      <c r="M1200" s="18" t="s">
        <v>373</v>
      </c>
      <c r="N1200" t="s">
        <v>1164</v>
      </c>
      <c r="O1200" t="s">
        <v>94</v>
      </c>
      <c r="P1200" s="1" t="s">
        <v>24</v>
      </c>
      <c r="Q1200" s="13" t="s">
        <v>1018</v>
      </c>
      <c r="R1200">
        <v>5</v>
      </c>
      <c r="S1200">
        <v>32000</v>
      </c>
      <c r="T1200"/>
      <c r="U1200" s="9"/>
      <c r="V1200" s="9"/>
      <c r="W1200" s="9"/>
      <c r="X1200" s="9"/>
    </row>
    <row r="1201" spans="1:24">
      <c r="A1201" s="13" t="s">
        <v>19</v>
      </c>
      <c r="B1201" s="1"/>
      <c r="C1201" s="1" t="s">
        <v>20</v>
      </c>
      <c r="D1201" s="3">
        <v>32000</v>
      </c>
      <c r="E1201"/>
      <c r="F1201"/>
      <c r="G1201"/>
      <c r="H1201"/>
      <c r="I1201"/>
      <c r="J1201"/>
      <c r="K1201"/>
      <c r="L1201"/>
      <c r="M1201" s="18" t="s">
        <v>373</v>
      </c>
      <c r="N1201" t="s">
        <v>1164</v>
      </c>
      <c r="O1201" t="s">
        <v>94</v>
      </c>
      <c r="P1201" s="1" t="s">
        <v>24</v>
      </c>
      <c r="Q1201" s="13" t="s">
        <v>1018</v>
      </c>
      <c r="R1201">
        <v>1</v>
      </c>
      <c r="S1201">
        <v>32000</v>
      </c>
      <c r="T1201"/>
      <c r="U1201" s="9"/>
      <c r="V1201" s="9"/>
      <c r="W1201" s="9"/>
      <c r="X1201" s="9"/>
    </row>
    <row r="1202" spans="1:24">
      <c r="A1202" s="13" t="s">
        <v>19</v>
      </c>
      <c r="B1202" s="1"/>
      <c r="C1202" s="1" t="s">
        <v>20</v>
      </c>
      <c r="D1202" s="3">
        <v>128000</v>
      </c>
      <c r="E1202"/>
      <c r="F1202"/>
      <c r="G1202"/>
      <c r="H1202"/>
      <c r="I1202"/>
      <c r="J1202"/>
      <c r="K1202"/>
      <c r="L1202"/>
      <c r="M1202" s="18" t="s">
        <v>373</v>
      </c>
      <c r="N1202" t="s">
        <v>1164</v>
      </c>
      <c r="O1202" t="s">
        <v>94</v>
      </c>
      <c r="P1202" s="1" t="s">
        <v>24</v>
      </c>
      <c r="Q1202" s="13" t="s">
        <v>1018</v>
      </c>
      <c r="R1202">
        <v>4</v>
      </c>
      <c r="S1202">
        <v>32000</v>
      </c>
      <c r="T1202"/>
      <c r="U1202" s="9"/>
      <c r="V1202" s="9"/>
      <c r="W1202" s="9"/>
      <c r="X1202" s="9"/>
    </row>
    <row r="1203" spans="1:24">
      <c r="A1203" s="13" t="s">
        <v>19</v>
      </c>
      <c r="B1203" s="1"/>
      <c r="C1203" s="1" t="s">
        <v>20</v>
      </c>
      <c r="D1203" s="3">
        <v>64000</v>
      </c>
      <c r="E1203"/>
      <c r="F1203"/>
      <c r="G1203"/>
      <c r="H1203"/>
      <c r="I1203"/>
      <c r="J1203"/>
      <c r="K1203"/>
      <c r="L1203"/>
      <c r="M1203" s="18" t="s">
        <v>373</v>
      </c>
      <c r="N1203" t="s">
        <v>1164</v>
      </c>
      <c r="O1203" t="s">
        <v>94</v>
      </c>
      <c r="P1203" s="1" t="s">
        <v>24</v>
      </c>
      <c r="Q1203" s="13" t="s">
        <v>1018</v>
      </c>
      <c r="R1203">
        <v>2</v>
      </c>
      <c r="S1203">
        <v>32000</v>
      </c>
      <c r="T1203"/>
      <c r="U1203" s="9"/>
      <c r="V1203" s="9"/>
      <c r="W1203" s="9"/>
      <c r="X1203" s="9"/>
    </row>
    <row r="1204" spans="1:24">
      <c r="A1204" s="13" t="s">
        <v>19</v>
      </c>
      <c r="B1204" s="1"/>
      <c r="C1204" s="1" t="s">
        <v>20</v>
      </c>
      <c r="D1204" s="3">
        <v>64000</v>
      </c>
      <c r="E1204"/>
      <c r="F1204"/>
      <c r="G1204"/>
      <c r="H1204"/>
      <c r="I1204"/>
      <c r="J1204"/>
      <c r="K1204"/>
      <c r="L1204"/>
      <c r="M1204" s="18" t="s">
        <v>373</v>
      </c>
      <c r="N1204" t="s">
        <v>1164</v>
      </c>
      <c r="O1204" t="s">
        <v>94</v>
      </c>
      <c r="P1204" s="1" t="s">
        <v>24</v>
      </c>
      <c r="Q1204" s="13" t="s">
        <v>1018</v>
      </c>
      <c r="R1204">
        <v>2</v>
      </c>
      <c r="S1204">
        <v>32000</v>
      </c>
      <c r="T1204"/>
      <c r="U1204" s="9"/>
      <c r="V1204" s="9"/>
      <c r="W1204" s="9"/>
      <c r="X1204" s="9"/>
    </row>
    <row r="1205" spans="1:24">
      <c r="A1205" s="13" t="s">
        <v>19</v>
      </c>
      <c r="B1205" s="1"/>
      <c r="C1205" s="1" t="s">
        <v>26</v>
      </c>
      <c r="D1205" s="3">
        <v>37000</v>
      </c>
      <c r="E1205"/>
      <c r="F1205"/>
      <c r="G1205"/>
      <c r="H1205"/>
      <c r="I1205"/>
      <c r="J1205"/>
      <c r="K1205"/>
      <c r="L1205"/>
      <c r="M1205" s="18" t="s">
        <v>373</v>
      </c>
      <c r="N1205" t="s">
        <v>1164</v>
      </c>
      <c r="O1205" t="s">
        <v>94</v>
      </c>
      <c r="P1205" s="1" t="s">
        <v>608</v>
      </c>
      <c r="Q1205" s="13" t="s">
        <v>1018</v>
      </c>
      <c r="R1205">
        <v>1</v>
      </c>
      <c r="S1205">
        <v>37000</v>
      </c>
      <c r="T1205"/>
      <c r="U1205" s="9"/>
      <c r="V1205" s="9"/>
      <c r="W1205" s="9"/>
      <c r="X1205" s="9"/>
    </row>
    <row r="1206" spans="1:24">
      <c r="A1206" s="13" t="s">
        <v>19</v>
      </c>
      <c r="B1206" s="1"/>
      <c r="C1206" s="1" t="s">
        <v>26</v>
      </c>
      <c r="D1206" s="3">
        <v>37000</v>
      </c>
      <c r="E1206"/>
      <c r="F1206"/>
      <c r="G1206"/>
      <c r="H1206"/>
      <c r="I1206"/>
      <c r="J1206"/>
      <c r="K1206"/>
      <c r="L1206"/>
      <c r="M1206" s="18" t="s">
        <v>373</v>
      </c>
      <c r="N1206" t="s">
        <v>1164</v>
      </c>
      <c r="O1206" t="s">
        <v>94</v>
      </c>
      <c r="P1206" s="1" t="s">
        <v>609</v>
      </c>
      <c r="Q1206" s="13" t="s">
        <v>1018</v>
      </c>
      <c r="R1206">
        <v>1</v>
      </c>
      <c r="S1206">
        <v>37000</v>
      </c>
      <c r="T1206"/>
      <c r="U1206" s="9"/>
      <c r="V1206" s="9"/>
      <c r="W1206" s="9"/>
      <c r="X1206" s="9"/>
    </row>
    <row r="1207" spans="1:24">
      <c r="A1207" s="13" t="s">
        <v>19</v>
      </c>
      <c r="B1207" s="1"/>
      <c r="C1207" s="1" t="s">
        <v>26</v>
      </c>
      <c r="D1207" s="3">
        <v>74000</v>
      </c>
      <c r="E1207"/>
      <c r="F1207"/>
      <c r="G1207"/>
      <c r="H1207"/>
      <c r="I1207"/>
      <c r="J1207"/>
      <c r="K1207"/>
      <c r="L1207"/>
      <c r="M1207" s="18" t="s">
        <v>373</v>
      </c>
      <c r="N1207" t="s">
        <v>1164</v>
      </c>
      <c r="O1207" t="s">
        <v>94</v>
      </c>
      <c r="P1207" s="1" t="s">
        <v>878</v>
      </c>
      <c r="Q1207" s="13" t="s">
        <v>1018</v>
      </c>
      <c r="R1207">
        <v>2</v>
      </c>
      <c r="S1207">
        <v>37000</v>
      </c>
      <c r="T1207"/>
      <c r="U1207" s="9"/>
      <c r="V1207" s="9"/>
      <c r="W1207" s="9"/>
      <c r="X1207" s="9"/>
    </row>
    <row r="1208" spans="1:24">
      <c r="A1208" s="13" t="s">
        <v>19</v>
      </c>
      <c r="B1208" s="1"/>
      <c r="C1208" s="1" t="s">
        <v>26</v>
      </c>
      <c r="D1208" s="3">
        <v>32000</v>
      </c>
      <c r="E1208"/>
      <c r="F1208"/>
      <c r="G1208"/>
      <c r="H1208"/>
      <c r="I1208"/>
      <c r="J1208"/>
      <c r="K1208"/>
      <c r="L1208"/>
      <c r="M1208" s="18" t="s">
        <v>373</v>
      </c>
      <c r="N1208" t="s">
        <v>1164</v>
      </c>
      <c r="O1208" t="s">
        <v>94</v>
      </c>
      <c r="P1208" s="1" t="s">
        <v>879</v>
      </c>
      <c r="Q1208" s="13" t="s">
        <v>1018</v>
      </c>
      <c r="R1208">
        <v>1</v>
      </c>
      <c r="S1208">
        <v>32000</v>
      </c>
      <c r="T1208"/>
      <c r="U1208" s="9"/>
      <c r="V1208" s="9"/>
      <c r="W1208" s="9"/>
      <c r="X1208" s="9"/>
    </row>
    <row r="1209" spans="1:24">
      <c r="A1209" s="13" t="s">
        <v>19</v>
      </c>
      <c r="B1209" s="1"/>
      <c r="C1209" s="1" t="s">
        <v>29</v>
      </c>
      <c r="D1209" s="3">
        <v>35000</v>
      </c>
      <c r="E1209"/>
      <c r="F1209"/>
      <c r="G1209"/>
      <c r="H1209"/>
      <c r="I1209"/>
      <c r="J1209"/>
      <c r="K1209"/>
      <c r="L1209"/>
      <c r="M1209" s="18" t="s">
        <v>373</v>
      </c>
      <c r="N1209" t="s">
        <v>1164</v>
      </c>
      <c r="O1209" t="s">
        <v>94</v>
      </c>
      <c r="P1209" s="1" t="s">
        <v>30</v>
      </c>
      <c r="Q1209" s="13" t="s">
        <v>1018</v>
      </c>
      <c r="R1209">
        <v>7</v>
      </c>
      <c r="S1209">
        <v>5000</v>
      </c>
      <c r="T1209"/>
      <c r="U1209" s="9"/>
      <c r="V1209" s="9"/>
      <c r="W1209" s="9"/>
      <c r="X1209" s="9"/>
    </row>
    <row r="1210" spans="1:24">
      <c r="A1210" s="13" t="s">
        <v>19</v>
      </c>
      <c r="B1210" s="1"/>
      <c r="C1210" s="1" t="s">
        <v>29</v>
      </c>
      <c r="D1210" s="3">
        <v>35000</v>
      </c>
      <c r="E1210"/>
      <c r="F1210"/>
      <c r="G1210"/>
      <c r="H1210"/>
      <c r="I1210"/>
      <c r="J1210"/>
      <c r="K1210"/>
      <c r="L1210"/>
      <c r="M1210" s="18" t="s">
        <v>373</v>
      </c>
      <c r="N1210" t="s">
        <v>1164</v>
      </c>
      <c r="O1210" t="s">
        <v>94</v>
      </c>
      <c r="P1210" s="1" t="s">
        <v>30</v>
      </c>
      <c r="Q1210" s="13" t="s">
        <v>1018</v>
      </c>
      <c r="R1210">
        <v>7</v>
      </c>
      <c r="S1210">
        <v>5000</v>
      </c>
      <c r="T1210"/>
      <c r="U1210" s="9"/>
      <c r="V1210" s="9"/>
      <c r="W1210" s="9"/>
      <c r="X1210" s="9"/>
    </row>
    <row r="1211" spans="1:24">
      <c r="A1211" s="13" t="s">
        <v>19</v>
      </c>
      <c r="B1211" s="1"/>
      <c r="C1211" s="1" t="s">
        <v>29</v>
      </c>
      <c r="D1211" s="3">
        <v>25000</v>
      </c>
      <c r="E1211"/>
      <c r="F1211"/>
      <c r="G1211"/>
      <c r="H1211"/>
      <c r="I1211"/>
      <c r="J1211"/>
      <c r="K1211"/>
      <c r="L1211"/>
      <c r="M1211" s="18" t="s">
        <v>373</v>
      </c>
      <c r="N1211" t="s">
        <v>1164</v>
      </c>
      <c r="O1211" t="s">
        <v>94</v>
      </c>
      <c r="P1211" s="1" t="s">
        <v>30</v>
      </c>
      <c r="Q1211" s="13" t="s">
        <v>1018</v>
      </c>
      <c r="R1211">
        <v>5</v>
      </c>
      <c r="S1211">
        <v>5000</v>
      </c>
      <c r="T1211"/>
      <c r="U1211" s="9"/>
      <c r="V1211" s="9"/>
      <c r="W1211" s="9"/>
      <c r="X1211" s="9"/>
    </row>
    <row r="1212" spans="1:24">
      <c r="A1212" s="13" t="s">
        <v>19</v>
      </c>
      <c r="B1212" s="1"/>
      <c r="C1212" s="1" t="s">
        <v>29</v>
      </c>
      <c r="D1212" s="3">
        <v>45000</v>
      </c>
      <c r="E1212"/>
      <c r="F1212"/>
      <c r="G1212"/>
      <c r="H1212"/>
      <c r="I1212"/>
      <c r="J1212"/>
      <c r="K1212"/>
      <c r="L1212"/>
      <c r="M1212" s="18" t="s">
        <v>373</v>
      </c>
      <c r="N1212" t="s">
        <v>1164</v>
      </c>
      <c r="O1212" t="s">
        <v>94</v>
      </c>
      <c r="P1212" s="1" t="s">
        <v>30</v>
      </c>
      <c r="Q1212" s="13" t="s">
        <v>1018</v>
      </c>
      <c r="R1212">
        <v>9</v>
      </c>
      <c r="S1212">
        <v>5000</v>
      </c>
      <c r="T1212"/>
      <c r="U1212" s="9"/>
      <c r="V1212" s="9"/>
      <c r="W1212" s="9"/>
      <c r="X1212" s="9"/>
    </row>
    <row r="1213" spans="1:24">
      <c r="A1213" s="13" t="s">
        <v>19</v>
      </c>
      <c r="B1213" s="1"/>
      <c r="C1213" s="1" t="s">
        <v>29</v>
      </c>
      <c r="D1213" s="3">
        <v>20000</v>
      </c>
      <c r="E1213"/>
      <c r="F1213"/>
      <c r="G1213"/>
      <c r="H1213"/>
      <c r="I1213"/>
      <c r="J1213"/>
      <c r="K1213"/>
      <c r="L1213"/>
      <c r="M1213" s="18" t="s">
        <v>373</v>
      </c>
      <c r="N1213" t="s">
        <v>1164</v>
      </c>
      <c r="O1213" t="s">
        <v>94</v>
      </c>
      <c r="P1213" s="1" t="s">
        <v>30</v>
      </c>
      <c r="Q1213" s="13" t="s">
        <v>1018</v>
      </c>
      <c r="R1213">
        <v>4</v>
      </c>
      <c r="S1213">
        <v>5000</v>
      </c>
      <c r="T1213"/>
      <c r="U1213" s="9"/>
      <c r="V1213" s="9"/>
      <c r="W1213" s="9"/>
      <c r="X1213" s="9"/>
    </row>
    <row r="1214" spans="1:24">
      <c r="A1214" s="13" t="s">
        <v>19</v>
      </c>
      <c r="B1214" s="1"/>
      <c r="C1214" s="1" t="s">
        <v>29</v>
      </c>
      <c r="D1214" s="3">
        <v>30000</v>
      </c>
      <c r="E1214"/>
      <c r="F1214"/>
      <c r="G1214"/>
      <c r="H1214"/>
      <c r="I1214"/>
      <c r="J1214"/>
      <c r="K1214"/>
      <c r="L1214"/>
      <c r="M1214" s="18" t="s">
        <v>373</v>
      </c>
      <c r="N1214" t="s">
        <v>1164</v>
      </c>
      <c r="O1214" t="s">
        <v>94</v>
      </c>
      <c r="P1214" s="1" t="s">
        <v>30</v>
      </c>
      <c r="Q1214" s="13" t="s">
        <v>1018</v>
      </c>
      <c r="R1214">
        <v>6</v>
      </c>
      <c r="S1214">
        <v>5000</v>
      </c>
      <c r="T1214"/>
      <c r="U1214" s="9"/>
      <c r="V1214" s="9"/>
      <c r="W1214" s="9"/>
      <c r="X1214" s="9"/>
    </row>
    <row r="1215" spans="1:24">
      <c r="A1215" s="13" t="s">
        <v>19</v>
      </c>
      <c r="B1215" s="1"/>
      <c r="C1215" s="1" t="s">
        <v>29</v>
      </c>
      <c r="D1215" s="3">
        <v>25000</v>
      </c>
      <c r="E1215"/>
      <c r="F1215"/>
      <c r="G1215"/>
      <c r="H1215"/>
      <c r="I1215"/>
      <c r="J1215"/>
      <c r="K1215"/>
      <c r="L1215"/>
      <c r="M1215" s="18" t="s">
        <v>373</v>
      </c>
      <c r="N1215" t="s">
        <v>1164</v>
      </c>
      <c r="O1215" t="s">
        <v>94</v>
      </c>
      <c r="P1215" s="1" t="s">
        <v>30</v>
      </c>
      <c r="Q1215" s="13" t="s">
        <v>1018</v>
      </c>
      <c r="R1215">
        <v>5</v>
      </c>
      <c r="S1215">
        <v>5000</v>
      </c>
      <c r="T1215"/>
      <c r="U1215" s="9"/>
      <c r="V1215" s="9"/>
      <c r="W1215" s="9"/>
      <c r="X1215" s="9"/>
    </row>
    <row r="1216" spans="1:24">
      <c r="A1216" s="13" t="s">
        <v>19</v>
      </c>
      <c r="B1216" s="1"/>
      <c r="C1216" s="1" t="s">
        <v>29</v>
      </c>
      <c r="D1216" s="3">
        <v>25000</v>
      </c>
      <c r="E1216"/>
      <c r="F1216"/>
      <c r="G1216"/>
      <c r="H1216"/>
      <c r="I1216"/>
      <c r="J1216"/>
      <c r="K1216"/>
      <c r="L1216"/>
      <c r="M1216" s="18" t="s">
        <v>373</v>
      </c>
      <c r="N1216" t="s">
        <v>1164</v>
      </c>
      <c r="O1216" t="s">
        <v>94</v>
      </c>
      <c r="P1216" s="1" t="s">
        <v>30</v>
      </c>
      <c r="Q1216" s="13" t="s">
        <v>1018</v>
      </c>
      <c r="R1216">
        <v>5</v>
      </c>
      <c r="S1216">
        <v>5000</v>
      </c>
      <c r="T1216"/>
      <c r="U1216" s="9"/>
      <c r="V1216" s="9"/>
      <c r="W1216" s="9"/>
      <c r="X1216" s="9"/>
    </row>
    <row r="1217" spans="1:24">
      <c r="A1217" s="13" t="s">
        <v>19</v>
      </c>
      <c r="B1217" s="1"/>
      <c r="C1217" s="1" t="s">
        <v>29</v>
      </c>
      <c r="D1217" s="3">
        <v>5000</v>
      </c>
      <c r="E1217"/>
      <c r="F1217"/>
      <c r="G1217"/>
      <c r="H1217"/>
      <c r="I1217"/>
      <c r="J1217"/>
      <c r="K1217"/>
      <c r="L1217"/>
      <c r="M1217" s="18" t="s">
        <v>373</v>
      </c>
      <c r="N1217" t="s">
        <v>1164</v>
      </c>
      <c r="O1217" t="s">
        <v>94</v>
      </c>
      <c r="P1217" s="1" t="s">
        <v>30</v>
      </c>
      <c r="Q1217" s="13" t="s">
        <v>1018</v>
      </c>
      <c r="R1217">
        <v>1</v>
      </c>
      <c r="S1217">
        <v>5000</v>
      </c>
      <c r="T1217"/>
      <c r="U1217" s="9"/>
      <c r="V1217" s="9"/>
      <c r="W1217" s="9"/>
      <c r="X1217" s="9"/>
    </row>
    <row r="1218" spans="1:24">
      <c r="A1218" s="13" t="s">
        <v>19</v>
      </c>
      <c r="B1218" s="1"/>
      <c r="C1218" s="1" t="s">
        <v>29</v>
      </c>
      <c r="D1218" s="3">
        <v>20000</v>
      </c>
      <c r="E1218"/>
      <c r="F1218"/>
      <c r="G1218"/>
      <c r="H1218"/>
      <c r="I1218"/>
      <c r="J1218"/>
      <c r="K1218"/>
      <c r="L1218"/>
      <c r="M1218" s="18" t="s">
        <v>373</v>
      </c>
      <c r="N1218" t="s">
        <v>1164</v>
      </c>
      <c r="O1218" t="s">
        <v>94</v>
      </c>
      <c r="P1218" s="1" t="s">
        <v>30</v>
      </c>
      <c r="Q1218" s="13" t="s">
        <v>1018</v>
      </c>
      <c r="R1218">
        <v>4</v>
      </c>
      <c r="S1218">
        <v>5000</v>
      </c>
      <c r="T1218"/>
      <c r="U1218" s="9"/>
      <c r="V1218" s="9"/>
      <c r="W1218" s="9"/>
      <c r="X1218" s="9"/>
    </row>
    <row r="1219" spans="1:24">
      <c r="A1219" s="13" t="s">
        <v>19</v>
      </c>
      <c r="B1219" s="1"/>
      <c r="C1219" s="1" t="s">
        <v>29</v>
      </c>
      <c r="D1219" s="3">
        <v>10000</v>
      </c>
      <c r="E1219"/>
      <c r="F1219"/>
      <c r="G1219"/>
      <c r="H1219"/>
      <c r="I1219"/>
      <c r="J1219"/>
      <c r="K1219"/>
      <c r="L1219"/>
      <c r="M1219" s="18" t="s">
        <v>373</v>
      </c>
      <c r="N1219" t="s">
        <v>1164</v>
      </c>
      <c r="O1219" t="s">
        <v>94</v>
      </c>
      <c r="P1219" s="1" t="s">
        <v>30</v>
      </c>
      <c r="Q1219" s="13" t="s">
        <v>1018</v>
      </c>
      <c r="R1219">
        <v>2</v>
      </c>
      <c r="S1219">
        <v>5000</v>
      </c>
      <c r="T1219"/>
      <c r="U1219" s="9"/>
      <c r="V1219" s="9"/>
      <c r="W1219" s="9"/>
      <c r="X1219" s="9"/>
    </row>
    <row r="1220" spans="1:24">
      <c r="A1220" s="13" t="s">
        <v>19</v>
      </c>
      <c r="B1220" s="1"/>
      <c r="C1220" s="1" t="s">
        <v>29</v>
      </c>
      <c r="D1220" s="3">
        <v>10000</v>
      </c>
      <c r="E1220"/>
      <c r="F1220"/>
      <c r="G1220"/>
      <c r="H1220"/>
      <c r="I1220"/>
      <c r="J1220"/>
      <c r="K1220"/>
      <c r="L1220"/>
      <c r="M1220" s="18" t="s">
        <v>373</v>
      </c>
      <c r="N1220" t="s">
        <v>1164</v>
      </c>
      <c r="O1220" t="s">
        <v>94</v>
      </c>
      <c r="P1220" s="1" t="s">
        <v>30</v>
      </c>
      <c r="Q1220" s="13" t="s">
        <v>1018</v>
      </c>
      <c r="R1220">
        <v>2</v>
      </c>
      <c r="S1220">
        <v>5000</v>
      </c>
      <c r="T1220"/>
      <c r="U1220" s="9"/>
      <c r="V1220" s="9"/>
      <c r="W1220" s="9"/>
      <c r="X1220" s="9"/>
    </row>
    <row r="1221" spans="1:24">
      <c r="A1221" s="13" t="s">
        <v>19</v>
      </c>
      <c r="B1221" s="1"/>
      <c r="C1221" s="1" t="s">
        <v>32</v>
      </c>
      <c r="D1221" s="3">
        <v>5000</v>
      </c>
      <c r="E1221"/>
      <c r="F1221"/>
      <c r="G1221"/>
      <c r="H1221"/>
      <c r="I1221"/>
      <c r="J1221"/>
      <c r="K1221"/>
      <c r="L1221"/>
      <c r="M1221" s="18" t="s">
        <v>373</v>
      </c>
      <c r="N1221" t="s">
        <v>1164</v>
      </c>
      <c r="O1221" t="s">
        <v>94</v>
      </c>
      <c r="P1221" s="1" t="s">
        <v>618</v>
      </c>
      <c r="Q1221" s="13" t="s">
        <v>1018</v>
      </c>
      <c r="R1221">
        <v>1</v>
      </c>
      <c r="S1221">
        <v>5000</v>
      </c>
      <c r="T1221"/>
      <c r="U1221" s="9"/>
      <c r="V1221" s="9"/>
      <c r="W1221" s="9"/>
      <c r="X1221" s="9"/>
    </row>
    <row r="1222" spans="1:24">
      <c r="A1222" s="13" t="s">
        <v>19</v>
      </c>
      <c r="B1222" s="1"/>
      <c r="C1222" s="1" t="s">
        <v>32</v>
      </c>
      <c r="D1222" s="3">
        <v>5000</v>
      </c>
      <c r="E1222"/>
      <c r="F1222"/>
      <c r="G1222"/>
      <c r="H1222"/>
      <c r="I1222"/>
      <c r="J1222"/>
      <c r="K1222"/>
      <c r="L1222"/>
      <c r="M1222" s="18" t="s">
        <v>373</v>
      </c>
      <c r="N1222" t="s">
        <v>1164</v>
      </c>
      <c r="O1222" t="s">
        <v>94</v>
      </c>
      <c r="P1222" s="1" t="s">
        <v>619</v>
      </c>
      <c r="Q1222" s="13" t="s">
        <v>1018</v>
      </c>
      <c r="R1222">
        <v>1</v>
      </c>
      <c r="S1222">
        <v>5000</v>
      </c>
      <c r="T1222"/>
      <c r="U1222" s="9"/>
      <c r="V1222" s="9"/>
      <c r="W1222" s="9"/>
      <c r="X1222" s="9"/>
    </row>
    <row r="1223" spans="1:24">
      <c r="A1223" s="13" t="s">
        <v>19</v>
      </c>
      <c r="B1223" s="1"/>
      <c r="C1223" s="1" t="s">
        <v>32</v>
      </c>
      <c r="D1223" s="3">
        <v>10000</v>
      </c>
      <c r="E1223"/>
      <c r="F1223"/>
      <c r="G1223"/>
      <c r="H1223"/>
      <c r="I1223"/>
      <c r="J1223"/>
      <c r="K1223"/>
      <c r="L1223"/>
      <c r="M1223" s="18" t="s">
        <v>373</v>
      </c>
      <c r="N1223" t="s">
        <v>1164</v>
      </c>
      <c r="O1223" t="s">
        <v>94</v>
      </c>
      <c r="P1223" s="1" t="s">
        <v>880</v>
      </c>
      <c r="Q1223" s="13" t="s">
        <v>1018</v>
      </c>
      <c r="R1223">
        <v>2</v>
      </c>
      <c r="S1223">
        <v>5000</v>
      </c>
      <c r="T1223"/>
      <c r="U1223" s="9"/>
      <c r="V1223" s="9"/>
      <c r="W1223" s="9"/>
      <c r="X1223" s="9"/>
    </row>
    <row r="1224" spans="1:24">
      <c r="A1224" s="13" t="s">
        <v>19</v>
      </c>
      <c r="B1224" s="1"/>
      <c r="C1224" s="1" t="s">
        <v>32</v>
      </c>
      <c r="D1224" s="3">
        <v>5000</v>
      </c>
      <c r="E1224"/>
      <c r="F1224"/>
      <c r="G1224"/>
      <c r="H1224"/>
      <c r="I1224"/>
      <c r="J1224"/>
      <c r="K1224"/>
      <c r="L1224"/>
      <c r="M1224" s="18" t="s">
        <v>373</v>
      </c>
      <c r="N1224" t="s">
        <v>1164</v>
      </c>
      <c r="O1224" t="s">
        <v>94</v>
      </c>
      <c r="P1224" s="1" t="s">
        <v>881</v>
      </c>
      <c r="Q1224" s="13" t="s">
        <v>1018</v>
      </c>
      <c r="R1224">
        <v>1</v>
      </c>
      <c r="S1224">
        <v>5000</v>
      </c>
      <c r="T1224"/>
      <c r="U1224" s="9"/>
      <c r="V1224" s="9"/>
      <c r="W1224" s="9"/>
      <c r="X1224" s="9"/>
    </row>
    <row r="1225" spans="1:24">
      <c r="A1225" s="13"/>
      <c r="B1225" s="1"/>
      <c r="C1225" s="1"/>
      <c r="D1225" s="3" t="str">
        <f>SUBTOTAL(9,D1193:D1224)</f>
        <v>0</v>
      </c>
      <c r="E1225"/>
      <c r="F1225"/>
      <c r="G1225"/>
      <c r="H1225"/>
      <c r="I1225"/>
      <c r="J1225"/>
      <c r="K1225"/>
      <c r="L1225"/>
      <c r="M1225" s="18" t="s">
        <v>374</v>
      </c>
      <c r="N1225" t="s">
        <v>1532</v>
      </c>
      <c r="O1225" t="s">
        <v>94</v>
      </c>
      <c r="P1225" s="1"/>
      <c r="Q1225" s="13"/>
      <c r="R1225"/>
      <c r="S1225"/>
      <c r="T1225"/>
      <c r="U1225" s="9"/>
      <c r="V1225" s="9"/>
      <c r="W1225" s="9"/>
      <c r="X1225" s="9"/>
    </row>
    <row r="1226" spans="1:24">
      <c r="A1226" s="13" t="s">
        <v>19</v>
      </c>
      <c r="B1226" s="1"/>
      <c r="C1226" s="1" t="s">
        <v>20</v>
      </c>
      <c r="D1226" s="3">
        <v>60000</v>
      </c>
      <c r="E1226"/>
      <c r="F1226"/>
      <c r="G1226"/>
      <c r="H1226"/>
      <c r="I1226"/>
      <c r="J1226"/>
      <c r="K1226"/>
      <c r="L1226"/>
      <c r="M1226" s="18" t="s">
        <v>375</v>
      </c>
      <c r="N1226" t="s">
        <v>1225</v>
      </c>
      <c r="O1226" t="s">
        <v>23</v>
      </c>
      <c r="P1226" s="1" t="s">
        <v>580</v>
      </c>
      <c r="Q1226" s="13" t="s">
        <v>25</v>
      </c>
      <c r="R1226">
        <v>2</v>
      </c>
      <c r="S1226">
        <v>30000</v>
      </c>
      <c r="T1226"/>
      <c r="U1226" s="9"/>
      <c r="V1226" s="9"/>
      <c r="W1226" s="9"/>
      <c r="X1226" s="9"/>
    </row>
    <row r="1227" spans="1:24">
      <c r="A1227" s="13" t="s">
        <v>19</v>
      </c>
      <c r="B1227" s="1"/>
      <c r="C1227" s="1" t="s">
        <v>20</v>
      </c>
      <c r="D1227" s="3">
        <v>60000</v>
      </c>
      <c r="E1227"/>
      <c r="F1227"/>
      <c r="G1227"/>
      <c r="H1227"/>
      <c r="I1227"/>
      <c r="J1227"/>
      <c r="K1227"/>
      <c r="L1227"/>
      <c r="M1227" s="18" t="s">
        <v>375</v>
      </c>
      <c r="N1227" t="s">
        <v>1225</v>
      </c>
      <c r="O1227" t="s">
        <v>23</v>
      </c>
      <c r="P1227" s="1" t="s">
        <v>665</v>
      </c>
      <c r="Q1227" s="13" t="s">
        <v>25</v>
      </c>
      <c r="R1227">
        <v>2</v>
      </c>
      <c r="S1227">
        <v>30000</v>
      </c>
      <c r="T1227"/>
      <c r="U1227" s="9"/>
      <c r="V1227" s="9"/>
      <c r="W1227" s="9"/>
      <c r="X1227" s="9"/>
    </row>
    <row r="1228" spans="1:24">
      <c r="A1228" s="13" t="s">
        <v>19</v>
      </c>
      <c r="B1228" s="1"/>
      <c r="C1228" s="1" t="s">
        <v>20</v>
      </c>
      <c r="D1228" s="3">
        <v>60000</v>
      </c>
      <c r="E1228"/>
      <c r="F1228"/>
      <c r="G1228"/>
      <c r="H1228"/>
      <c r="I1228"/>
      <c r="J1228"/>
      <c r="K1228"/>
      <c r="L1228"/>
      <c r="M1228" s="18" t="s">
        <v>375</v>
      </c>
      <c r="N1228" t="s">
        <v>1225</v>
      </c>
      <c r="O1228" t="s">
        <v>23</v>
      </c>
      <c r="P1228" s="1" t="s">
        <v>582</v>
      </c>
      <c r="Q1228" s="13" t="s">
        <v>25</v>
      </c>
      <c r="R1228">
        <v>2</v>
      </c>
      <c r="S1228">
        <v>30000</v>
      </c>
      <c r="T1228"/>
      <c r="U1228" s="9"/>
      <c r="V1228" s="9"/>
      <c r="W1228" s="9"/>
      <c r="X1228" s="9"/>
    </row>
    <row r="1229" spans="1:24">
      <c r="A1229" s="13" t="s">
        <v>19</v>
      </c>
      <c r="B1229" s="1"/>
      <c r="C1229" s="1" t="s">
        <v>20</v>
      </c>
      <c r="D1229" s="3">
        <v>60000</v>
      </c>
      <c r="E1229"/>
      <c r="F1229"/>
      <c r="G1229"/>
      <c r="H1229"/>
      <c r="I1229"/>
      <c r="J1229"/>
      <c r="K1229"/>
      <c r="L1229"/>
      <c r="M1229" s="18" t="s">
        <v>375</v>
      </c>
      <c r="N1229" t="s">
        <v>1225</v>
      </c>
      <c r="O1229" t="s">
        <v>23</v>
      </c>
      <c r="P1229" s="1" t="s">
        <v>882</v>
      </c>
      <c r="Q1229" s="13" t="s">
        <v>25</v>
      </c>
      <c r="R1229">
        <v>2</v>
      </c>
      <c r="S1229">
        <v>30000</v>
      </c>
      <c r="T1229"/>
      <c r="U1229" s="9"/>
      <c r="V1229" s="9"/>
      <c r="W1229" s="9"/>
      <c r="X1229" s="9"/>
    </row>
    <row r="1230" spans="1:24">
      <c r="A1230" s="13" t="s">
        <v>19</v>
      </c>
      <c r="B1230" s="1"/>
      <c r="C1230" s="1" t="s">
        <v>29</v>
      </c>
      <c r="D1230" s="3">
        <v>14000</v>
      </c>
      <c r="E1230"/>
      <c r="F1230"/>
      <c r="G1230"/>
      <c r="H1230"/>
      <c r="I1230"/>
      <c r="J1230"/>
      <c r="K1230"/>
      <c r="L1230"/>
      <c r="M1230" s="18" t="s">
        <v>375</v>
      </c>
      <c r="N1230" t="s">
        <v>1225</v>
      </c>
      <c r="O1230" t="s">
        <v>23</v>
      </c>
      <c r="P1230" s="1" t="s">
        <v>591</v>
      </c>
      <c r="Q1230" s="13" t="s">
        <v>25</v>
      </c>
      <c r="R1230">
        <v>2</v>
      </c>
      <c r="S1230">
        <v>7000</v>
      </c>
      <c r="T1230"/>
      <c r="U1230" s="9"/>
      <c r="V1230" s="9"/>
      <c r="W1230" s="9"/>
      <c r="X1230" s="9"/>
    </row>
    <row r="1231" spans="1:24">
      <c r="A1231" s="13" t="s">
        <v>19</v>
      </c>
      <c r="B1231" s="1"/>
      <c r="C1231" s="1" t="s">
        <v>29</v>
      </c>
      <c r="D1231" s="3">
        <v>14000</v>
      </c>
      <c r="E1231"/>
      <c r="F1231"/>
      <c r="G1231"/>
      <c r="H1231"/>
      <c r="I1231"/>
      <c r="J1231"/>
      <c r="K1231"/>
      <c r="L1231"/>
      <c r="M1231" s="18" t="s">
        <v>375</v>
      </c>
      <c r="N1231" t="s">
        <v>1225</v>
      </c>
      <c r="O1231" t="s">
        <v>23</v>
      </c>
      <c r="P1231" s="1" t="s">
        <v>671</v>
      </c>
      <c r="Q1231" s="13" t="s">
        <v>25</v>
      </c>
      <c r="R1231">
        <v>2</v>
      </c>
      <c r="S1231">
        <v>7000</v>
      </c>
      <c r="T1231"/>
      <c r="U1231" s="9"/>
      <c r="V1231" s="9"/>
      <c r="W1231" s="9"/>
      <c r="X1231" s="9"/>
    </row>
    <row r="1232" spans="1:24">
      <c r="A1232" s="13" t="s">
        <v>19</v>
      </c>
      <c r="B1232" s="1"/>
      <c r="C1232" s="1" t="s">
        <v>29</v>
      </c>
      <c r="D1232" s="3">
        <v>14000</v>
      </c>
      <c r="E1232"/>
      <c r="F1232"/>
      <c r="G1232"/>
      <c r="H1232"/>
      <c r="I1232"/>
      <c r="J1232"/>
      <c r="K1232"/>
      <c r="L1232"/>
      <c r="M1232" s="18" t="s">
        <v>375</v>
      </c>
      <c r="N1232" t="s">
        <v>1225</v>
      </c>
      <c r="O1232" t="s">
        <v>23</v>
      </c>
      <c r="P1232" s="1" t="s">
        <v>593</v>
      </c>
      <c r="Q1232" s="13" t="s">
        <v>25</v>
      </c>
      <c r="R1232">
        <v>2</v>
      </c>
      <c r="S1232">
        <v>7000</v>
      </c>
      <c r="T1232"/>
      <c r="U1232" s="9"/>
      <c r="V1232" s="9"/>
      <c r="W1232" s="9"/>
      <c r="X1232" s="9"/>
    </row>
    <row r="1233" spans="1:24">
      <c r="A1233" s="13" t="s">
        <v>19</v>
      </c>
      <c r="B1233" s="1"/>
      <c r="C1233" s="1" t="s">
        <v>29</v>
      </c>
      <c r="D1233" s="3">
        <v>14000</v>
      </c>
      <c r="E1233"/>
      <c r="F1233"/>
      <c r="G1233"/>
      <c r="H1233"/>
      <c r="I1233"/>
      <c r="J1233"/>
      <c r="K1233"/>
      <c r="L1233"/>
      <c r="M1233" s="18" t="s">
        <v>375</v>
      </c>
      <c r="N1233" t="s">
        <v>1225</v>
      </c>
      <c r="O1233" t="s">
        <v>23</v>
      </c>
      <c r="P1233" s="1" t="s">
        <v>883</v>
      </c>
      <c r="Q1233" s="13" t="s">
        <v>25</v>
      </c>
      <c r="R1233">
        <v>2</v>
      </c>
      <c r="S1233">
        <v>7000</v>
      </c>
      <c r="T1233"/>
      <c r="U1233" s="9"/>
      <c r="V1233" s="9"/>
      <c r="W1233" s="9"/>
      <c r="X1233" s="9"/>
    </row>
    <row r="1234" spans="1:24">
      <c r="A1234" s="13"/>
      <c r="B1234" s="1"/>
      <c r="C1234" s="1"/>
      <c r="D1234" s="3" t="str">
        <f>SUBTOTAL(9,D1226:D1233)</f>
        <v>0</v>
      </c>
      <c r="E1234"/>
      <c r="F1234"/>
      <c r="G1234"/>
      <c r="H1234"/>
      <c r="I1234"/>
      <c r="J1234"/>
      <c r="K1234"/>
      <c r="L1234"/>
      <c r="M1234" s="18" t="s">
        <v>376</v>
      </c>
      <c r="N1234" t="s">
        <v>1533</v>
      </c>
      <c r="O1234" t="s">
        <v>23</v>
      </c>
      <c r="P1234" s="1"/>
      <c r="Q1234" s="13"/>
      <c r="R1234"/>
      <c r="S1234"/>
      <c r="T1234"/>
      <c r="U1234" s="9"/>
      <c r="V1234" s="9"/>
      <c r="W1234" s="9"/>
      <c r="X1234" s="9"/>
    </row>
    <row r="1235" spans="1:24">
      <c r="A1235" s="13" t="s">
        <v>19</v>
      </c>
      <c r="B1235" s="1"/>
      <c r="C1235" s="1" t="s">
        <v>26</v>
      </c>
      <c r="D1235" s="3">
        <v>37000</v>
      </c>
      <c r="E1235"/>
      <c r="F1235"/>
      <c r="G1235"/>
      <c r="H1235"/>
      <c r="I1235"/>
      <c r="J1235"/>
      <c r="K1235"/>
      <c r="L1235"/>
      <c r="M1235" s="18" t="s">
        <v>377</v>
      </c>
      <c r="N1235" t="s">
        <v>1174</v>
      </c>
      <c r="O1235"/>
      <c r="P1235" s="1" t="s">
        <v>513</v>
      </c>
      <c r="Q1235" s="13" t="s">
        <v>25</v>
      </c>
      <c r="R1235">
        <v>1</v>
      </c>
      <c r="S1235">
        <v>37000</v>
      </c>
      <c r="T1235"/>
      <c r="U1235" s="9"/>
      <c r="V1235" s="9"/>
      <c r="W1235" s="9"/>
      <c r="X1235" s="9"/>
    </row>
    <row r="1236" spans="1:24">
      <c r="A1236" s="13" t="s">
        <v>19</v>
      </c>
      <c r="B1236" s="1"/>
      <c r="C1236" s="1" t="s">
        <v>32</v>
      </c>
      <c r="D1236" s="3">
        <v>5000</v>
      </c>
      <c r="E1236"/>
      <c r="F1236"/>
      <c r="G1236"/>
      <c r="H1236"/>
      <c r="I1236"/>
      <c r="J1236"/>
      <c r="K1236"/>
      <c r="L1236"/>
      <c r="M1236" s="18" t="s">
        <v>377</v>
      </c>
      <c r="N1236" t="s">
        <v>1174</v>
      </c>
      <c r="O1236"/>
      <c r="P1236" s="1" t="s">
        <v>516</v>
      </c>
      <c r="Q1236" s="13" t="s">
        <v>25</v>
      </c>
      <c r="R1236">
        <v>1</v>
      </c>
      <c r="S1236">
        <v>5000</v>
      </c>
      <c r="T1236"/>
      <c r="U1236" s="9"/>
      <c r="V1236" s="9"/>
      <c r="W1236" s="9"/>
      <c r="X1236" s="9"/>
    </row>
    <row r="1237" spans="1:24">
      <c r="A1237" s="13"/>
      <c r="B1237" s="1"/>
      <c r="C1237" s="1"/>
      <c r="D1237" s="3" t="str">
        <f>SUBTOTAL(9,D1235:D1236)</f>
        <v>0</v>
      </c>
      <c r="E1237"/>
      <c r="F1237"/>
      <c r="G1237"/>
      <c r="H1237"/>
      <c r="I1237"/>
      <c r="J1237"/>
      <c r="K1237"/>
      <c r="L1237"/>
      <c r="M1237" s="18" t="s">
        <v>378</v>
      </c>
      <c r="N1237" t="s">
        <v>1534</v>
      </c>
      <c r="O1237"/>
      <c r="P1237" s="1"/>
      <c r="Q1237" s="13"/>
      <c r="R1237"/>
      <c r="S1237"/>
      <c r="T1237"/>
      <c r="U1237" s="9"/>
      <c r="V1237" s="9"/>
      <c r="W1237" s="9"/>
      <c r="X1237" s="9"/>
    </row>
    <row r="1238" spans="1:24">
      <c r="A1238" s="13" t="s">
        <v>19</v>
      </c>
      <c r="B1238" s="1"/>
      <c r="C1238" s="1" t="s">
        <v>20</v>
      </c>
      <c r="D1238" s="3">
        <v>32000</v>
      </c>
      <c r="E1238"/>
      <c r="F1238"/>
      <c r="G1238"/>
      <c r="H1238"/>
      <c r="I1238"/>
      <c r="J1238"/>
      <c r="K1238"/>
      <c r="L1238"/>
      <c r="M1238" s="18" t="s">
        <v>379</v>
      </c>
      <c r="N1238" t="s">
        <v>1327</v>
      </c>
      <c r="O1238" t="s">
        <v>94</v>
      </c>
      <c r="P1238" s="1" t="s">
        <v>24</v>
      </c>
      <c r="Q1238" s="13" t="s">
        <v>25</v>
      </c>
      <c r="R1238">
        <v>1</v>
      </c>
      <c r="S1238">
        <v>32000</v>
      </c>
      <c r="T1238"/>
      <c r="U1238" s="9"/>
      <c r="V1238" s="9"/>
      <c r="W1238" s="9"/>
      <c r="X1238" s="9"/>
    </row>
    <row r="1239" spans="1:24">
      <c r="A1239" s="13" t="s">
        <v>19</v>
      </c>
      <c r="B1239" s="1"/>
      <c r="C1239" s="1" t="s">
        <v>20</v>
      </c>
      <c r="D1239" s="3">
        <v>64000</v>
      </c>
      <c r="E1239"/>
      <c r="F1239"/>
      <c r="G1239"/>
      <c r="H1239"/>
      <c r="I1239"/>
      <c r="J1239"/>
      <c r="K1239"/>
      <c r="L1239"/>
      <c r="M1239" s="18" t="s">
        <v>379</v>
      </c>
      <c r="N1239" t="s">
        <v>1327</v>
      </c>
      <c r="O1239" t="s">
        <v>94</v>
      </c>
      <c r="P1239" s="1" t="s">
        <v>24</v>
      </c>
      <c r="Q1239" s="13" t="s">
        <v>25</v>
      </c>
      <c r="R1239">
        <v>2</v>
      </c>
      <c r="S1239">
        <v>32000</v>
      </c>
      <c r="T1239"/>
      <c r="U1239" s="9"/>
      <c r="V1239" s="9"/>
      <c r="W1239" s="9"/>
      <c r="X1239" s="9"/>
    </row>
    <row r="1240" spans="1:24">
      <c r="A1240" s="13" t="s">
        <v>19</v>
      </c>
      <c r="B1240" s="1"/>
      <c r="C1240" s="1" t="s">
        <v>26</v>
      </c>
      <c r="D1240" s="3">
        <v>37000</v>
      </c>
      <c r="E1240"/>
      <c r="F1240"/>
      <c r="G1240"/>
      <c r="H1240"/>
      <c r="I1240"/>
      <c r="J1240"/>
      <c r="K1240"/>
      <c r="L1240"/>
      <c r="M1240" s="18" t="s">
        <v>379</v>
      </c>
      <c r="N1240" t="s">
        <v>1327</v>
      </c>
      <c r="O1240" t="s">
        <v>94</v>
      </c>
      <c r="P1240" s="1" t="s">
        <v>27</v>
      </c>
      <c r="Q1240" s="13" t="s">
        <v>25</v>
      </c>
      <c r="R1240">
        <v>1</v>
      </c>
      <c r="S1240">
        <v>37000</v>
      </c>
      <c r="T1240"/>
      <c r="U1240" s="9"/>
      <c r="V1240" s="9"/>
      <c r="W1240" s="9"/>
      <c r="X1240" s="9"/>
    </row>
    <row r="1241" spans="1:24">
      <c r="A1241" s="13" t="s">
        <v>19</v>
      </c>
      <c r="B1241" s="1"/>
      <c r="C1241" s="1" t="s">
        <v>29</v>
      </c>
      <c r="D1241" s="3">
        <v>5000</v>
      </c>
      <c r="E1241"/>
      <c r="F1241"/>
      <c r="G1241"/>
      <c r="H1241"/>
      <c r="I1241"/>
      <c r="J1241"/>
      <c r="K1241"/>
      <c r="L1241"/>
      <c r="M1241" s="18" t="s">
        <v>379</v>
      </c>
      <c r="N1241" t="s">
        <v>1327</v>
      </c>
      <c r="O1241" t="s">
        <v>94</v>
      </c>
      <c r="P1241" s="1" t="s">
        <v>30</v>
      </c>
      <c r="Q1241" s="13" t="s">
        <v>25</v>
      </c>
      <c r="R1241">
        <v>1</v>
      </c>
      <c r="S1241">
        <v>5000</v>
      </c>
      <c r="T1241"/>
      <c r="U1241" s="9"/>
      <c r="V1241" s="9"/>
      <c r="W1241" s="9"/>
      <c r="X1241" s="9"/>
    </row>
    <row r="1242" spans="1:24">
      <c r="A1242" s="13" t="s">
        <v>19</v>
      </c>
      <c r="B1242" s="1"/>
      <c r="C1242" s="1" t="s">
        <v>29</v>
      </c>
      <c r="D1242" s="3">
        <v>10000</v>
      </c>
      <c r="E1242"/>
      <c r="F1242"/>
      <c r="G1242"/>
      <c r="H1242"/>
      <c r="I1242"/>
      <c r="J1242"/>
      <c r="K1242"/>
      <c r="L1242"/>
      <c r="M1242" s="18" t="s">
        <v>379</v>
      </c>
      <c r="N1242" t="s">
        <v>1327</v>
      </c>
      <c r="O1242" t="s">
        <v>94</v>
      </c>
      <c r="P1242" s="1" t="s">
        <v>30</v>
      </c>
      <c r="Q1242" s="13" t="s">
        <v>25</v>
      </c>
      <c r="R1242">
        <v>2</v>
      </c>
      <c r="S1242">
        <v>5000</v>
      </c>
      <c r="T1242"/>
      <c r="U1242" s="9"/>
      <c r="V1242" s="9"/>
      <c r="W1242" s="9"/>
      <c r="X1242" s="9"/>
    </row>
    <row r="1243" spans="1:24">
      <c r="A1243" s="13" t="s">
        <v>19</v>
      </c>
      <c r="B1243" s="1"/>
      <c r="C1243" s="1" t="s">
        <v>32</v>
      </c>
      <c r="D1243" s="3">
        <v>5000</v>
      </c>
      <c r="E1243"/>
      <c r="F1243"/>
      <c r="G1243"/>
      <c r="H1243"/>
      <c r="I1243"/>
      <c r="J1243"/>
      <c r="K1243"/>
      <c r="L1243"/>
      <c r="M1243" s="18" t="s">
        <v>379</v>
      </c>
      <c r="N1243" t="s">
        <v>1327</v>
      </c>
      <c r="O1243" t="s">
        <v>94</v>
      </c>
      <c r="P1243" s="1" t="s">
        <v>33</v>
      </c>
      <c r="Q1243" s="13" t="s">
        <v>25</v>
      </c>
      <c r="R1243">
        <v>1</v>
      </c>
      <c r="S1243">
        <v>5000</v>
      </c>
      <c r="T1243"/>
      <c r="U1243" s="9"/>
      <c r="V1243" s="9"/>
      <c r="W1243" s="9"/>
      <c r="X1243" s="9"/>
    </row>
    <row r="1244" spans="1:24">
      <c r="A1244" s="13"/>
      <c r="B1244" s="1"/>
      <c r="C1244" s="1"/>
      <c r="D1244" s="3" t="str">
        <f>SUBTOTAL(9,D1238:D1243)</f>
        <v>0</v>
      </c>
      <c r="E1244"/>
      <c r="F1244"/>
      <c r="G1244"/>
      <c r="H1244"/>
      <c r="I1244"/>
      <c r="J1244"/>
      <c r="K1244"/>
      <c r="L1244"/>
      <c r="M1244" s="18" t="s">
        <v>380</v>
      </c>
      <c r="N1244" t="s">
        <v>1535</v>
      </c>
      <c r="O1244" t="s">
        <v>94</v>
      </c>
      <c r="P1244" s="1"/>
      <c r="Q1244" s="13"/>
      <c r="R1244"/>
      <c r="S1244"/>
      <c r="T1244"/>
      <c r="U1244" s="9"/>
      <c r="V1244" s="9"/>
      <c r="W1244" s="9"/>
      <c r="X1244" s="9"/>
    </row>
    <row r="1245" spans="1:24">
      <c r="A1245" s="13" t="s">
        <v>19</v>
      </c>
      <c r="B1245" s="1"/>
      <c r="C1245" s="1" t="s">
        <v>20</v>
      </c>
      <c r="D1245" s="3">
        <v>105000</v>
      </c>
      <c r="E1245"/>
      <c r="F1245"/>
      <c r="G1245"/>
      <c r="H1245"/>
      <c r="I1245"/>
      <c r="J1245"/>
      <c r="K1245"/>
      <c r="L1245"/>
      <c r="M1245" s="18" t="s">
        <v>381</v>
      </c>
      <c r="N1245" t="s">
        <v>1208</v>
      </c>
      <c r="O1245" t="s">
        <v>1395</v>
      </c>
      <c r="P1245" s="1" t="s">
        <v>24</v>
      </c>
      <c r="Q1245" s="13" t="s">
        <v>25</v>
      </c>
      <c r="R1245">
        <v>3</v>
      </c>
      <c r="S1245">
        <v>35000</v>
      </c>
      <c r="T1245"/>
      <c r="U1245" s="9"/>
      <c r="V1245" s="9"/>
      <c r="W1245" s="9"/>
      <c r="X1245" s="9"/>
    </row>
    <row r="1246" spans="1:24">
      <c r="A1246" s="13" t="s">
        <v>19</v>
      </c>
      <c r="B1246" s="1"/>
      <c r="C1246" s="1" t="s">
        <v>26</v>
      </c>
      <c r="D1246" s="3">
        <v>37000</v>
      </c>
      <c r="E1246"/>
      <c r="F1246"/>
      <c r="G1246"/>
      <c r="H1246"/>
      <c r="I1246"/>
      <c r="J1246"/>
      <c r="K1246"/>
      <c r="L1246"/>
      <c r="M1246" s="18" t="s">
        <v>381</v>
      </c>
      <c r="N1246" t="s">
        <v>1208</v>
      </c>
      <c r="O1246" t="s">
        <v>1395</v>
      </c>
      <c r="P1246" s="1" t="s">
        <v>884</v>
      </c>
      <c r="Q1246" s="13" t="s">
        <v>25</v>
      </c>
      <c r="R1246">
        <v>1</v>
      </c>
      <c r="S1246">
        <v>37000</v>
      </c>
      <c r="T1246"/>
      <c r="U1246" s="9"/>
      <c r="V1246" s="9"/>
      <c r="W1246" s="9"/>
      <c r="X1246" s="9"/>
    </row>
    <row r="1247" spans="1:24">
      <c r="A1247" s="13" t="s">
        <v>19</v>
      </c>
      <c r="B1247" s="1"/>
      <c r="C1247" s="1" t="s">
        <v>29</v>
      </c>
      <c r="D1247" s="3">
        <v>15000</v>
      </c>
      <c r="E1247"/>
      <c r="F1247"/>
      <c r="G1247"/>
      <c r="H1247"/>
      <c r="I1247"/>
      <c r="J1247"/>
      <c r="K1247"/>
      <c r="L1247"/>
      <c r="M1247" s="18" t="s">
        <v>381</v>
      </c>
      <c r="N1247" t="s">
        <v>1208</v>
      </c>
      <c r="O1247" t="s">
        <v>1395</v>
      </c>
      <c r="P1247" s="1" t="s">
        <v>30</v>
      </c>
      <c r="Q1247" s="13" t="s">
        <v>25</v>
      </c>
      <c r="R1247">
        <v>3</v>
      </c>
      <c r="S1247">
        <v>5000</v>
      </c>
      <c r="T1247"/>
      <c r="U1247" s="9"/>
      <c r="V1247" s="9"/>
      <c r="W1247" s="9"/>
      <c r="X1247" s="9"/>
    </row>
    <row r="1248" spans="1:24">
      <c r="A1248" s="13" t="s">
        <v>19</v>
      </c>
      <c r="B1248" s="1"/>
      <c r="C1248" s="1" t="s">
        <v>32</v>
      </c>
      <c r="D1248" s="3">
        <v>5000</v>
      </c>
      <c r="E1248"/>
      <c r="F1248"/>
      <c r="G1248"/>
      <c r="H1248"/>
      <c r="I1248"/>
      <c r="J1248"/>
      <c r="K1248"/>
      <c r="L1248"/>
      <c r="M1248" s="18" t="s">
        <v>381</v>
      </c>
      <c r="N1248" t="s">
        <v>1208</v>
      </c>
      <c r="O1248" t="s">
        <v>1395</v>
      </c>
      <c r="P1248" s="1" t="s">
        <v>885</v>
      </c>
      <c r="Q1248" s="13" t="s">
        <v>25</v>
      </c>
      <c r="R1248">
        <v>1</v>
      </c>
      <c r="S1248">
        <v>5000</v>
      </c>
      <c r="T1248"/>
      <c r="U1248" s="9"/>
      <c r="V1248" s="9"/>
      <c r="W1248" s="9"/>
      <c r="X1248" s="9"/>
    </row>
    <row r="1249" spans="1:24">
      <c r="A1249" s="13"/>
      <c r="B1249" s="1"/>
      <c r="C1249" s="1"/>
      <c r="D1249" s="3" t="str">
        <f>SUBTOTAL(9,D1245:D1248)</f>
        <v>0</v>
      </c>
      <c r="E1249"/>
      <c r="F1249"/>
      <c r="G1249"/>
      <c r="H1249"/>
      <c r="I1249"/>
      <c r="J1249"/>
      <c r="K1249"/>
      <c r="L1249"/>
      <c r="M1249" s="18" t="s">
        <v>382</v>
      </c>
      <c r="N1249" t="s">
        <v>1536</v>
      </c>
      <c r="O1249" t="s">
        <v>1395</v>
      </c>
      <c r="P1249" s="1"/>
      <c r="Q1249" s="13"/>
      <c r="R1249"/>
      <c r="S1249"/>
      <c r="T1249"/>
      <c r="U1249" s="9"/>
      <c r="V1249" s="9"/>
      <c r="W1249" s="9"/>
      <c r="X1249" s="9"/>
    </row>
    <row r="1250" spans="1:24">
      <c r="A1250" s="13" t="s">
        <v>19</v>
      </c>
      <c r="B1250" s="1"/>
      <c r="C1250" s="1" t="s">
        <v>20</v>
      </c>
      <c r="D1250" s="3">
        <v>96000</v>
      </c>
      <c r="E1250"/>
      <c r="F1250"/>
      <c r="G1250"/>
      <c r="H1250"/>
      <c r="I1250"/>
      <c r="J1250"/>
      <c r="K1250"/>
      <c r="L1250"/>
      <c r="M1250" s="18" t="s">
        <v>383</v>
      </c>
      <c r="N1250" t="s">
        <v>1209</v>
      </c>
      <c r="O1250" t="s">
        <v>23</v>
      </c>
      <c r="P1250" s="1" t="s">
        <v>24</v>
      </c>
      <c r="Q1250" s="13" t="s">
        <v>25</v>
      </c>
      <c r="R1250">
        <v>3</v>
      </c>
      <c r="S1250">
        <v>32000</v>
      </c>
      <c r="T1250"/>
      <c r="U1250" s="9"/>
      <c r="V1250" s="9"/>
      <c r="W1250" s="9"/>
      <c r="X1250" s="9"/>
    </row>
    <row r="1251" spans="1:24">
      <c r="A1251" s="13" t="s">
        <v>19</v>
      </c>
      <c r="B1251" s="1"/>
      <c r="C1251" s="1" t="s">
        <v>20</v>
      </c>
      <c r="D1251" s="3">
        <v>96000</v>
      </c>
      <c r="E1251"/>
      <c r="F1251"/>
      <c r="G1251"/>
      <c r="H1251"/>
      <c r="I1251"/>
      <c r="J1251"/>
      <c r="K1251"/>
      <c r="L1251"/>
      <c r="M1251" s="18" t="s">
        <v>383</v>
      </c>
      <c r="N1251" t="s">
        <v>1209</v>
      </c>
      <c r="O1251" t="s">
        <v>23</v>
      </c>
      <c r="P1251" s="1" t="s">
        <v>24</v>
      </c>
      <c r="Q1251" s="13" t="s">
        <v>25</v>
      </c>
      <c r="R1251">
        <v>3</v>
      </c>
      <c r="S1251">
        <v>32000</v>
      </c>
      <c r="T1251"/>
      <c r="U1251" s="9"/>
      <c r="V1251" s="9"/>
      <c r="W1251" s="9"/>
      <c r="X1251" s="9"/>
    </row>
    <row r="1252" spans="1:24">
      <c r="A1252" s="13" t="s">
        <v>19</v>
      </c>
      <c r="B1252" s="1"/>
      <c r="C1252" s="1" t="s">
        <v>20</v>
      </c>
      <c r="D1252" s="3">
        <v>96000</v>
      </c>
      <c r="E1252"/>
      <c r="F1252"/>
      <c r="G1252"/>
      <c r="H1252"/>
      <c r="I1252"/>
      <c r="J1252"/>
      <c r="K1252"/>
      <c r="L1252"/>
      <c r="M1252" s="18" t="s">
        <v>383</v>
      </c>
      <c r="N1252" t="s">
        <v>1209</v>
      </c>
      <c r="O1252" t="s">
        <v>23</v>
      </c>
      <c r="P1252" s="1" t="s">
        <v>24</v>
      </c>
      <c r="Q1252" s="13" t="s">
        <v>25</v>
      </c>
      <c r="R1252">
        <v>3</v>
      </c>
      <c r="S1252">
        <v>32000</v>
      </c>
      <c r="T1252"/>
      <c r="U1252" s="9"/>
      <c r="V1252" s="9"/>
      <c r="W1252" s="9"/>
      <c r="X1252" s="9"/>
    </row>
    <row r="1253" spans="1:24">
      <c r="A1253" s="13" t="s">
        <v>19</v>
      </c>
      <c r="B1253" s="1"/>
      <c r="C1253" s="1" t="s">
        <v>26</v>
      </c>
      <c r="D1253" s="3">
        <v>37000</v>
      </c>
      <c r="E1253"/>
      <c r="F1253"/>
      <c r="G1253"/>
      <c r="H1253"/>
      <c r="I1253"/>
      <c r="J1253"/>
      <c r="K1253"/>
      <c r="L1253"/>
      <c r="M1253" s="18" t="s">
        <v>383</v>
      </c>
      <c r="N1253" t="s">
        <v>1209</v>
      </c>
      <c r="O1253" t="s">
        <v>23</v>
      </c>
      <c r="P1253" s="1" t="s">
        <v>886</v>
      </c>
      <c r="Q1253" s="13" t="s">
        <v>25</v>
      </c>
      <c r="R1253">
        <v>1</v>
      </c>
      <c r="S1253">
        <v>37000</v>
      </c>
      <c r="T1253"/>
      <c r="U1253" s="9"/>
      <c r="V1253" s="9"/>
      <c r="W1253" s="9"/>
      <c r="X1253" s="9"/>
    </row>
    <row r="1254" spans="1:24">
      <c r="A1254" s="13" t="s">
        <v>19</v>
      </c>
      <c r="B1254" s="1"/>
      <c r="C1254" s="1" t="s">
        <v>26</v>
      </c>
      <c r="D1254" s="3">
        <v>37000</v>
      </c>
      <c r="E1254"/>
      <c r="F1254"/>
      <c r="G1254"/>
      <c r="H1254"/>
      <c r="I1254"/>
      <c r="J1254"/>
      <c r="K1254"/>
      <c r="L1254"/>
      <c r="M1254" s="18" t="s">
        <v>383</v>
      </c>
      <c r="N1254" t="s">
        <v>1209</v>
      </c>
      <c r="O1254" t="s">
        <v>23</v>
      </c>
      <c r="P1254" s="1" t="s">
        <v>887</v>
      </c>
      <c r="Q1254" s="13" t="s">
        <v>25</v>
      </c>
      <c r="R1254">
        <v>1</v>
      </c>
      <c r="S1254">
        <v>37000</v>
      </c>
      <c r="T1254"/>
      <c r="U1254" s="9"/>
      <c r="V1254" s="9"/>
      <c r="W1254" s="9"/>
      <c r="X1254" s="9"/>
    </row>
    <row r="1255" spans="1:24">
      <c r="A1255" s="13" t="s">
        <v>19</v>
      </c>
      <c r="B1255" s="1"/>
      <c r="C1255" s="1" t="s">
        <v>29</v>
      </c>
      <c r="D1255" s="3">
        <v>15000</v>
      </c>
      <c r="E1255"/>
      <c r="F1255"/>
      <c r="G1255"/>
      <c r="H1255"/>
      <c r="I1255"/>
      <c r="J1255"/>
      <c r="K1255"/>
      <c r="L1255"/>
      <c r="M1255" s="18" t="s">
        <v>383</v>
      </c>
      <c r="N1255" t="s">
        <v>1209</v>
      </c>
      <c r="O1255" t="s">
        <v>23</v>
      </c>
      <c r="P1255" s="1" t="s">
        <v>30</v>
      </c>
      <c r="Q1255" s="13" t="s">
        <v>25</v>
      </c>
      <c r="R1255">
        <v>3</v>
      </c>
      <c r="S1255">
        <v>5000</v>
      </c>
      <c r="T1255"/>
      <c r="U1255" s="9"/>
      <c r="V1255" s="9"/>
      <c r="W1255" s="9"/>
      <c r="X1255" s="9"/>
    </row>
    <row r="1256" spans="1:24">
      <c r="A1256" s="13" t="s">
        <v>19</v>
      </c>
      <c r="B1256" s="1"/>
      <c r="C1256" s="1" t="s">
        <v>29</v>
      </c>
      <c r="D1256" s="3">
        <v>15000</v>
      </c>
      <c r="E1256"/>
      <c r="F1256"/>
      <c r="G1256"/>
      <c r="H1256"/>
      <c r="I1256"/>
      <c r="J1256"/>
      <c r="K1256"/>
      <c r="L1256"/>
      <c r="M1256" s="18" t="s">
        <v>383</v>
      </c>
      <c r="N1256" t="s">
        <v>1209</v>
      </c>
      <c r="O1256" t="s">
        <v>23</v>
      </c>
      <c r="P1256" s="1" t="s">
        <v>30</v>
      </c>
      <c r="Q1256" s="13" t="s">
        <v>25</v>
      </c>
      <c r="R1256">
        <v>3</v>
      </c>
      <c r="S1256">
        <v>5000</v>
      </c>
      <c r="T1256"/>
      <c r="U1256" s="9"/>
      <c r="V1256" s="9"/>
      <c r="W1256" s="9"/>
      <c r="X1256" s="9"/>
    </row>
    <row r="1257" spans="1:24">
      <c r="A1257" s="13" t="s">
        <v>19</v>
      </c>
      <c r="B1257" s="1"/>
      <c r="C1257" s="1" t="s">
        <v>29</v>
      </c>
      <c r="D1257" s="3">
        <v>15000</v>
      </c>
      <c r="E1257"/>
      <c r="F1257"/>
      <c r="G1257"/>
      <c r="H1257"/>
      <c r="I1257"/>
      <c r="J1257"/>
      <c r="K1257"/>
      <c r="L1257"/>
      <c r="M1257" s="18" t="s">
        <v>383</v>
      </c>
      <c r="N1257" t="s">
        <v>1209</v>
      </c>
      <c r="O1257" t="s">
        <v>23</v>
      </c>
      <c r="P1257" s="1" t="s">
        <v>30</v>
      </c>
      <c r="Q1257" s="13" t="s">
        <v>25</v>
      </c>
      <c r="R1257">
        <v>3</v>
      </c>
      <c r="S1257">
        <v>5000</v>
      </c>
      <c r="T1257"/>
      <c r="U1257" s="9"/>
      <c r="V1257" s="9"/>
      <c r="W1257" s="9"/>
      <c r="X1257" s="9"/>
    </row>
    <row r="1258" spans="1:24">
      <c r="A1258" s="13" t="s">
        <v>19</v>
      </c>
      <c r="B1258" s="1"/>
      <c r="C1258" s="1" t="s">
        <v>32</v>
      </c>
      <c r="D1258" s="3">
        <v>5000</v>
      </c>
      <c r="E1258"/>
      <c r="F1258"/>
      <c r="G1258"/>
      <c r="H1258"/>
      <c r="I1258"/>
      <c r="J1258"/>
      <c r="K1258"/>
      <c r="L1258"/>
      <c r="M1258" s="18" t="s">
        <v>383</v>
      </c>
      <c r="N1258" t="s">
        <v>1209</v>
      </c>
      <c r="O1258" t="s">
        <v>23</v>
      </c>
      <c r="P1258" s="1" t="s">
        <v>888</v>
      </c>
      <c r="Q1258" s="13" t="s">
        <v>25</v>
      </c>
      <c r="R1258">
        <v>1</v>
      </c>
      <c r="S1258">
        <v>5000</v>
      </c>
      <c r="T1258"/>
      <c r="U1258" s="9"/>
      <c r="V1258" s="9"/>
      <c r="W1258" s="9"/>
      <c r="X1258" s="9"/>
    </row>
    <row r="1259" spans="1:24">
      <c r="A1259" s="13" t="s">
        <v>19</v>
      </c>
      <c r="B1259" s="1"/>
      <c r="C1259" s="1" t="s">
        <v>32</v>
      </c>
      <c r="D1259" s="3">
        <v>5000</v>
      </c>
      <c r="E1259"/>
      <c r="F1259"/>
      <c r="G1259"/>
      <c r="H1259"/>
      <c r="I1259"/>
      <c r="J1259"/>
      <c r="K1259"/>
      <c r="L1259"/>
      <c r="M1259" s="18" t="s">
        <v>383</v>
      </c>
      <c r="N1259" t="s">
        <v>1209</v>
      </c>
      <c r="O1259" t="s">
        <v>23</v>
      </c>
      <c r="P1259" s="1" t="s">
        <v>889</v>
      </c>
      <c r="Q1259" s="13" t="s">
        <v>25</v>
      </c>
      <c r="R1259">
        <v>1</v>
      </c>
      <c r="S1259">
        <v>5000</v>
      </c>
      <c r="T1259"/>
      <c r="U1259" s="9"/>
      <c r="V1259" s="9"/>
      <c r="W1259" s="9"/>
      <c r="X1259" s="9"/>
    </row>
    <row r="1260" spans="1:24">
      <c r="A1260" s="13"/>
      <c r="B1260" s="1"/>
      <c r="C1260" s="1"/>
      <c r="D1260" s="3" t="str">
        <f>SUBTOTAL(9,D1250:D1259)</f>
        <v>0</v>
      </c>
      <c r="E1260"/>
      <c r="F1260"/>
      <c r="G1260"/>
      <c r="H1260"/>
      <c r="I1260"/>
      <c r="J1260"/>
      <c r="K1260"/>
      <c r="L1260"/>
      <c r="M1260" s="18" t="s">
        <v>384</v>
      </c>
      <c r="N1260" t="s">
        <v>1537</v>
      </c>
      <c r="O1260" t="s">
        <v>23</v>
      </c>
      <c r="P1260" s="1"/>
      <c r="Q1260" s="13"/>
      <c r="R1260"/>
      <c r="S1260"/>
      <c r="T1260"/>
      <c r="U1260" s="9"/>
      <c r="V1260" s="9"/>
      <c r="W1260" s="9"/>
      <c r="X1260" s="9"/>
    </row>
    <row r="1261" spans="1:24">
      <c r="A1261" s="13" t="s">
        <v>19</v>
      </c>
      <c r="B1261" s="1"/>
      <c r="C1261" s="1" t="s">
        <v>20</v>
      </c>
      <c r="D1261" s="3">
        <v>90000</v>
      </c>
      <c r="E1261"/>
      <c r="F1261"/>
      <c r="G1261"/>
      <c r="H1261"/>
      <c r="I1261"/>
      <c r="J1261"/>
      <c r="K1261"/>
      <c r="L1261"/>
      <c r="M1261" s="18" t="s">
        <v>385</v>
      </c>
      <c r="N1261" t="s">
        <v>1233</v>
      </c>
      <c r="O1261" t="s">
        <v>1395</v>
      </c>
      <c r="P1261" s="1" t="s">
        <v>24</v>
      </c>
      <c r="Q1261" s="13" t="s">
        <v>25</v>
      </c>
      <c r="R1261">
        <v>3</v>
      </c>
      <c r="S1261">
        <v>30000</v>
      </c>
      <c r="T1261"/>
      <c r="U1261" s="9"/>
      <c r="V1261" s="9"/>
      <c r="W1261" s="9"/>
      <c r="X1261" s="9"/>
    </row>
    <row r="1262" spans="1:24">
      <c r="A1262" s="13" t="s">
        <v>19</v>
      </c>
      <c r="B1262" s="1"/>
      <c r="C1262" s="1" t="s">
        <v>20</v>
      </c>
      <c r="D1262" s="3">
        <v>90000</v>
      </c>
      <c r="E1262"/>
      <c r="F1262"/>
      <c r="G1262"/>
      <c r="H1262"/>
      <c r="I1262"/>
      <c r="J1262"/>
      <c r="K1262"/>
      <c r="L1262"/>
      <c r="M1262" s="18" t="s">
        <v>385</v>
      </c>
      <c r="N1262" t="s">
        <v>1233</v>
      </c>
      <c r="O1262" t="s">
        <v>1395</v>
      </c>
      <c r="P1262" s="1" t="s">
        <v>24</v>
      </c>
      <c r="Q1262" s="13" t="s">
        <v>25</v>
      </c>
      <c r="R1262">
        <v>3</v>
      </c>
      <c r="S1262">
        <v>30000</v>
      </c>
      <c r="T1262"/>
      <c r="U1262" s="9"/>
      <c r="V1262" s="9"/>
      <c r="W1262" s="9"/>
      <c r="X1262" s="9"/>
    </row>
    <row r="1263" spans="1:24">
      <c r="A1263" s="13" t="s">
        <v>19</v>
      </c>
      <c r="B1263" s="1"/>
      <c r="C1263" s="1" t="s">
        <v>20</v>
      </c>
      <c r="D1263" s="3">
        <v>30000</v>
      </c>
      <c r="E1263"/>
      <c r="F1263"/>
      <c r="G1263"/>
      <c r="H1263"/>
      <c r="I1263"/>
      <c r="J1263"/>
      <c r="K1263"/>
      <c r="L1263"/>
      <c r="M1263" s="18" t="s">
        <v>385</v>
      </c>
      <c r="N1263" t="s">
        <v>1233</v>
      </c>
      <c r="O1263" t="s">
        <v>1395</v>
      </c>
      <c r="P1263" s="1" t="s">
        <v>24</v>
      </c>
      <c r="Q1263" s="13" t="s">
        <v>25</v>
      </c>
      <c r="R1263">
        <v>1</v>
      </c>
      <c r="S1263">
        <v>30000</v>
      </c>
      <c r="T1263"/>
      <c r="U1263" s="9"/>
      <c r="V1263" s="9"/>
      <c r="W1263" s="9"/>
      <c r="X1263" s="9"/>
    </row>
    <row r="1264" spans="1:24">
      <c r="A1264" s="13" t="s">
        <v>19</v>
      </c>
      <c r="B1264" s="1"/>
      <c r="C1264" s="1" t="s">
        <v>20</v>
      </c>
      <c r="D1264" s="3">
        <v>150000</v>
      </c>
      <c r="E1264"/>
      <c r="F1264"/>
      <c r="G1264"/>
      <c r="H1264"/>
      <c r="I1264"/>
      <c r="J1264"/>
      <c r="K1264"/>
      <c r="L1264"/>
      <c r="M1264" s="18" t="s">
        <v>385</v>
      </c>
      <c r="N1264" t="s">
        <v>1233</v>
      </c>
      <c r="O1264" t="s">
        <v>1395</v>
      </c>
      <c r="P1264" s="1" t="s">
        <v>24</v>
      </c>
      <c r="Q1264" s="13" t="s">
        <v>25</v>
      </c>
      <c r="R1264">
        <v>5</v>
      </c>
      <c r="S1264">
        <v>30000</v>
      </c>
      <c r="T1264"/>
      <c r="U1264" s="9"/>
      <c r="V1264" s="9"/>
      <c r="W1264" s="9"/>
      <c r="X1264" s="9"/>
    </row>
    <row r="1265" spans="1:24">
      <c r="A1265" s="13" t="s">
        <v>19</v>
      </c>
      <c r="B1265" s="1"/>
      <c r="C1265" s="1" t="s">
        <v>20</v>
      </c>
      <c r="D1265" s="3">
        <v>150000</v>
      </c>
      <c r="E1265"/>
      <c r="F1265"/>
      <c r="G1265"/>
      <c r="H1265"/>
      <c r="I1265"/>
      <c r="J1265"/>
      <c r="K1265"/>
      <c r="L1265"/>
      <c r="M1265" s="18" t="s">
        <v>385</v>
      </c>
      <c r="N1265" t="s">
        <v>1233</v>
      </c>
      <c r="O1265" t="s">
        <v>1395</v>
      </c>
      <c r="P1265" s="1" t="s">
        <v>24</v>
      </c>
      <c r="Q1265" s="13" t="s">
        <v>25</v>
      </c>
      <c r="R1265">
        <v>5</v>
      </c>
      <c r="S1265">
        <v>30000</v>
      </c>
      <c r="T1265"/>
      <c r="U1265" s="9"/>
      <c r="V1265" s="9"/>
      <c r="W1265" s="9"/>
      <c r="X1265" s="9"/>
    </row>
    <row r="1266" spans="1:24">
      <c r="A1266" s="13" t="s">
        <v>19</v>
      </c>
      <c r="B1266" s="1"/>
      <c r="C1266" s="1" t="s">
        <v>20</v>
      </c>
      <c r="D1266" s="3">
        <v>90000</v>
      </c>
      <c r="E1266"/>
      <c r="F1266"/>
      <c r="G1266"/>
      <c r="H1266"/>
      <c r="I1266"/>
      <c r="J1266"/>
      <c r="K1266"/>
      <c r="L1266"/>
      <c r="M1266" s="18" t="s">
        <v>385</v>
      </c>
      <c r="N1266" t="s">
        <v>1233</v>
      </c>
      <c r="O1266" t="s">
        <v>1395</v>
      </c>
      <c r="P1266" s="1" t="s">
        <v>24</v>
      </c>
      <c r="Q1266" s="13" t="s">
        <v>25</v>
      </c>
      <c r="R1266">
        <v>3</v>
      </c>
      <c r="S1266">
        <v>30000</v>
      </c>
      <c r="T1266"/>
      <c r="U1266" s="9"/>
      <c r="V1266" s="9"/>
      <c r="W1266" s="9"/>
      <c r="X1266" s="9"/>
    </row>
    <row r="1267" spans="1:24">
      <c r="A1267" s="13" t="s">
        <v>19</v>
      </c>
      <c r="B1267" s="1"/>
      <c r="C1267" s="1" t="s">
        <v>20</v>
      </c>
      <c r="D1267" s="3">
        <v>60000</v>
      </c>
      <c r="E1267"/>
      <c r="F1267"/>
      <c r="G1267"/>
      <c r="H1267"/>
      <c r="I1267"/>
      <c r="J1267"/>
      <c r="K1267"/>
      <c r="L1267"/>
      <c r="M1267" s="18" t="s">
        <v>385</v>
      </c>
      <c r="N1267" t="s">
        <v>1233</v>
      </c>
      <c r="O1267" t="s">
        <v>1395</v>
      </c>
      <c r="P1267" s="1" t="s">
        <v>24</v>
      </c>
      <c r="Q1267" s="13" t="s">
        <v>25</v>
      </c>
      <c r="R1267">
        <v>2</v>
      </c>
      <c r="S1267">
        <v>30000</v>
      </c>
      <c r="T1267"/>
      <c r="U1267" s="9"/>
      <c r="V1267" s="9"/>
      <c r="W1267" s="9"/>
      <c r="X1267" s="9"/>
    </row>
    <row r="1268" spans="1:24">
      <c r="A1268" s="13" t="s">
        <v>19</v>
      </c>
      <c r="B1268" s="1"/>
      <c r="C1268" s="1" t="s">
        <v>20</v>
      </c>
      <c r="D1268" s="3">
        <v>30000</v>
      </c>
      <c r="E1268"/>
      <c r="F1268"/>
      <c r="G1268"/>
      <c r="H1268"/>
      <c r="I1268"/>
      <c r="J1268"/>
      <c r="K1268"/>
      <c r="L1268"/>
      <c r="M1268" s="18" t="s">
        <v>385</v>
      </c>
      <c r="N1268" t="s">
        <v>1233</v>
      </c>
      <c r="O1268" t="s">
        <v>1395</v>
      </c>
      <c r="P1268" s="1" t="s">
        <v>24</v>
      </c>
      <c r="Q1268" s="13" t="s">
        <v>25</v>
      </c>
      <c r="R1268">
        <v>1</v>
      </c>
      <c r="S1268">
        <v>30000</v>
      </c>
      <c r="T1268"/>
      <c r="U1268" s="9"/>
      <c r="V1268" s="9"/>
      <c r="W1268" s="9"/>
      <c r="X1268" s="9"/>
    </row>
    <row r="1269" spans="1:24">
      <c r="A1269" s="13" t="s">
        <v>19</v>
      </c>
      <c r="B1269" s="1"/>
      <c r="C1269" s="1" t="s">
        <v>26</v>
      </c>
      <c r="D1269" s="3">
        <v>37000</v>
      </c>
      <c r="E1269"/>
      <c r="F1269"/>
      <c r="G1269"/>
      <c r="H1269"/>
      <c r="I1269"/>
      <c r="J1269"/>
      <c r="K1269"/>
      <c r="L1269"/>
      <c r="M1269" s="18" t="s">
        <v>385</v>
      </c>
      <c r="N1269" t="s">
        <v>1233</v>
      </c>
      <c r="O1269" t="s">
        <v>1395</v>
      </c>
      <c r="P1269" s="1" t="s">
        <v>590</v>
      </c>
      <c r="Q1269" s="13" t="s">
        <v>25</v>
      </c>
      <c r="R1269">
        <v>1</v>
      </c>
      <c r="S1269">
        <v>37000</v>
      </c>
      <c r="T1269"/>
      <c r="U1269" s="9"/>
      <c r="V1269" s="9"/>
      <c r="W1269" s="9"/>
      <c r="X1269" s="9"/>
    </row>
    <row r="1270" spans="1:24">
      <c r="A1270" s="13" t="s">
        <v>19</v>
      </c>
      <c r="B1270" s="1"/>
      <c r="C1270" s="1" t="s">
        <v>29</v>
      </c>
      <c r="D1270" s="3">
        <v>15000</v>
      </c>
      <c r="E1270"/>
      <c r="F1270"/>
      <c r="G1270"/>
      <c r="H1270"/>
      <c r="I1270"/>
      <c r="J1270"/>
      <c r="K1270"/>
      <c r="L1270"/>
      <c r="M1270" s="18" t="s">
        <v>385</v>
      </c>
      <c r="N1270" t="s">
        <v>1233</v>
      </c>
      <c r="O1270" t="s">
        <v>1395</v>
      </c>
      <c r="P1270" s="1" t="s">
        <v>30</v>
      </c>
      <c r="Q1270" s="13" t="s">
        <v>25</v>
      </c>
      <c r="R1270">
        <v>3</v>
      </c>
      <c r="S1270">
        <v>5000</v>
      </c>
      <c r="T1270"/>
      <c r="U1270" s="9"/>
      <c r="V1270" s="9"/>
      <c r="W1270" s="9"/>
      <c r="X1270" s="9"/>
    </row>
    <row r="1271" spans="1:24">
      <c r="A1271" s="13" t="s">
        <v>19</v>
      </c>
      <c r="B1271" s="1"/>
      <c r="C1271" s="1" t="s">
        <v>29</v>
      </c>
      <c r="D1271" s="3">
        <v>15000</v>
      </c>
      <c r="E1271"/>
      <c r="F1271"/>
      <c r="G1271"/>
      <c r="H1271"/>
      <c r="I1271"/>
      <c r="J1271"/>
      <c r="K1271"/>
      <c r="L1271"/>
      <c r="M1271" s="18" t="s">
        <v>385</v>
      </c>
      <c r="N1271" t="s">
        <v>1233</v>
      </c>
      <c r="O1271" t="s">
        <v>1395</v>
      </c>
      <c r="P1271" s="1" t="s">
        <v>30</v>
      </c>
      <c r="Q1271" s="13" t="s">
        <v>25</v>
      </c>
      <c r="R1271">
        <v>3</v>
      </c>
      <c r="S1271">
        <v>5000</v>
      </c>
      <c r="T1271"/>
      <c r="U1271" s="9"/>
      <c r="V1271" s="9"/>
      <c r="W1271" s="9"/>
      <c r="X1271" s="9"/>
    </row>
    <row r="1272" spans="1:24">
      <c r="A1272" s="13" t="s">
        <v>19</v>
      </c>
      <c r="B1272" s="1"/>
      <c r="C1272" s="1" t="s">
        <v>29</v>
      </c>
      <c r="D1272" s="3">
        <v>5000</v>
      </c>
      <c r="E1272"/>
      <c r="F1272"/>
      <c r="G1272"/>
      <c r="H1272"/>
      <c r="I1272"/>
      <c r="J1272"/>
      <c r="K1272"/>
      <c r="L1272"/>
      <c r="M1272" s="18" t="s">
        <v>385</v>
      </c>
      <c r="N1272" t="s">
        <v>1233</v>
      </c>
      <c r="O1272" t="s">
        <v>1395</v>
      </c>
      <c r="P1272" s="1" t="s">
        <v>30</v>
      </c>
      <c r="Q1272" s="13" t="s">
        <v>25</v>
      </c>
      <c r="R1272">
        <v>1</v>
      </c>
      <c r="S1272">
        <v>5000</v>
      </c>
      <c r="T1272"/>
      <c r="U1272" s="9"/>
      <c r="V1272" s="9"/>
      <c r="W1272" s="9"/>
      <c r="X1272" s="9"/>
    </row>
    <row r="1273" spans="1:24">
      <c r="A1273" s="13" t="s">
        <v>19</v>
      </c>
      <c r="B1273" s="1"/>
      <c r="C1273" s="1" t="s">
        <v>29</v>
      </c>
      <c r="D1273" s="3">
        <v>25000</v>
      </c>
      <c r="E1273"/>
      <c r="F1273"/>
      <c r="G1273"/>
      <c r="H1273"/>
      <c r="I1273"/>
      <c r="J1273"/>
      <c r="K1273"/>
      <c r="L1273"/>
      <c r="M1273" s="18" t="s">
        <v>385</v>
      </c>
      <c r="N1273" t="s">
        <v>1233</v>
      </c>
      <c r="O1273" t="s">
        <v>1395</v>
      </c>
      <c r="P1273" s="1" t="s">
        <v>30</v>
      </c>
      <c r="Q1273" s="13" t="s">
        <v>25</v>
      </c>
      <c r="R1273">
        <v>5</v>
      </c>
      <c r="S1273">
        <v>5000</v>
      </c>
      <c r="T1273"/>
      <c r="U1273" s="9"/>
      <c r="V1273" s="9"/>
      <c r="W1273" s="9"/>
      <c r="X1273" s="9"/>
    </row>
    <row r="1274" spans="1:24">
      <c r="A1274" s="13" t="s">
        <v>19</v>
      </c>
      <c r="B1274" s="1"/>
      <c r="C1274" s="1" t="s">
        <v>29</v>
      </c>
      <c r="D1274" s="3">
        <v>25000</v>
      </c>
      <c r="E1274"/>
      <c r="F1274"/>
      <c r="G1274"/>
      <c r="H1274"/>
      <c r="I1274"/>
      <c r="J1274"/>
      <c r="K1274"/>
      <c r="L1274"/>
      <c r="M1274" s="18" t="s">
        <v>385</v>
      </c>
      <c r="N1274" t="s">
        <v>1233</v>
      </c>
      <c r="O1274" t="s">
        <v>1395</v>
      </c>
      <c r="P1274" s="1" t="s">
        <v>30</v>
      </c>
      <c r="Q1274" s="13" t="s">
        <v>25</v>
      </c>
      <c r="R1274">
        <v>5</v>
      </c>
      <c r="S1274">
        <v>5000</v>
      </c>
      <c r="T1274"/>
      <c r="U1274" s="9"/>
      <c r="V1274" s="9"/>
      <c r="W1274" s="9"/>
      <c r="X1274" s="9"/>
    </row>
    <row r="1275" spans="1:24">
      <c r="A1275" s="13" t="s">
        <v>19</v>
      </c>
      <c r="B1275" s="1"/>
      <c r="C1275" s="1" t="s">
        <v>29</v>
      </c>
      <c r="D1275" s="3">
        <v>15000</v>
      </c>
      <c r="E1275"/>
      <c r="F1275"/>
      <c r="G1275"/>
      <c r="H1275"/>
      <c r="I1275"/>
      <c r="J1275"/>
      <c r="K1275"/>
      <c r="L1275"/>
      <c r="M1275" s="18" t="s">
        <v>385</v>
      </c>
      <c r="N1275" t="s">
        <v>1233</v>
      </c>
      <c r="O1275" t="s">
        <v>1395</v>
      </c>
      <c r="P1275" s="1" t="s">
        <v>30</v>
      </c>
      <c r="Q1275" s="13" t="s">
        <v>25</v>
      </c>
      <c r="R1275">
        <v>3</v>
      </c>
      <c r="S1275">
        <v>5000</v>
      </c>
      <c r="T1275"/>
      <c r="U1275" s="9"/>
      <c r="V1275" s="9"/>
      <c r="W1275" s="9"/>
      <c r="X1275" s="9"/>
    </row>
    <row r="1276" spans="1:24">
      <c r="A1276" s="13" t="s">
        <v>19</v>
      </c>
      <c r="B1276" s="1"/>
      <c r="C1276" s="1" t="s">
        <v>29</v>
      </c>
      <c r="D1276" s="3">
        <v>10000</v>
      </c>
      <c r="E1276"/>
      <c r="F1276"/>
      <c r="G1276"/>
      <c r="H1276"/>
      <c r="I1276"/>
      <c r="J1276"/>
      <c r="K1276"/>
      <c r="L1276"/>
      <c r="M1276" s="18" t="s">
        <v>385</v>
      </c>
      <c r="N1276" t="s">
        <v>1233</v>
      </c>
      <c r="O1276" t="s">
        <v>1395</v>
      </c>
      <c r="P1276" s="1" t="s">
        <v>30</v>
      </c>
      <c r="Q1276" s="13" t="s">
        <v>25</v>
      </c>
      <c r="R1276">
        <v>2</v>
      </c>
      <c r="S1276">
        <v>5000</v>
      </c>
      <c r="T1276"/>
      <c r="U1276" s="9"/>
      <c r="V1276" s="9"/>
      <c r="W1276" s="9"/>
      <c r="X1276" s="9"/>
    </row>
    <row r="1277" spans="1:24">
      <c r="A1277" s="13" t="s">
        <v>19</v>
      </c>
      <c r="B1277" s="1"/>
      <c r="C1277" s="1" t="s">
        <v>29</v>
      </c>
      <c r="D1277" s="3">
        <v>5000</v>
      </c>
      <c r="E1277"/>
      <c r="F1277"/>
      <c r="G1277"/>
      <c r="H1277"/>
      <c r="I1277"/>
      <c r="J1277"/>
      <c r="K1277"/>
      <c r="L1277"/>
      <c r="M1277" s="18" t="s">
        <v>385</v>
      </c>
      <c r="N1277" t="s">
        <v>1233</v>
      </c>
      <c r="O1277" t="s">
        <v>1395</v>
      </c>
      <c r="P1277" s="1" t="s">
        <v>30</v>
      </c>
      <c r="Q1277" s="13" t="s">
        <v>25</v>
      </c>
      <c r="R1277">
        <v>1</v>
      </c>
      <c r="S1277">
        <v>5000</v>
      </c>
      <c r="T1277"/>
      <c r="U1277" s="9"/>
      <c r="V1277" s="9"/>
      <c r="W1277" s="9"/>
      <c r="X1277" s="9"/>
    </row>
    <row r="1278" spans="1:24">
      <c r="A1278" s="13" t="s">
        <v>19</v>
      </c>
      <c r="B1278" s="1"/>
      <c r="C1278" s="1" t="s">
        <v>32</v>
      </c>
      <c r="D1278" s="3">
        <v>5000</v>
      </c>
      <c r="E1278"/>
      <c r="F1278"/>
      <c r="G1278"/>
      <c r="H1278"/>
      <c r="I1278"/>
      <c r="J1278"/>
      <c r="K1278"/>
      <c r="L1278"/>
      <c r="M1278" s="18" t="s">
        <v>385</v>
      </c>
      <c r="N1278" t="s">
        <v>1233</v>
      </c>
      <c r="O1278" t="s">
        <v>1395</v>
      </c>
      <c r="P1278" s="1" t="s">
        <v>601</v>
      </c>
      <c r="Q1278" s="13" t="s">
        <v>25</v>
      </c>
      <c r="R1278">
        <v>1</v>
      </c>
      <c r="S1278">
        <v>5000</v>
      </c>
      <c r="T1278"/>
      <c r="U1278" s="9"/>
      <c r="V1278" s="9"/>
      <c r="W1278" s="9"/>
      <c r="X1278" s="9"/>
    </row>
    <row r="1279" spans="1:24">
      <c r="A1279" s="13"/>
      <c r="B1279" s="1"/>
      <c r="C1279" s="1"/>
      <c r="D1279" s="3" t="str">
        <f>SUBTOTAL(9,D1261:D1278)</f>
        <v>0</v>
      </c>
      <c r="E1279"/>
      <c r="F1279"/>
      <c r="G1279"/>
      <c r="H1279"/>
      <c r="I1279"/>
      <c r="J1279"/>
      <c r="K1279"/>
      <c r="L1279"/>
      <c r="M1279" s="18" t="s">
        <v>386</v>
      </c>
      <c r="N1279" t="s">
        <v>1538</v>
      </c>
      <c r="O1279" t="s">
        <v>1395</v>
      </c>
      <c r="P1279" s="1"/>
      <c r="Q1279" s="13"/>
      <c r="R1279"/>
      <c r="S1279"/>
      <c r="T1279"/>
      <c r="U1279" s="9"/>
      <c r="V1279" s="9"/>
      <c r="W1279" s="9"/>
      <c r="X1279" s="9"/>
    </row>
    <row r="1280" spans="1:24">
      <c r="A1280" s="13" t="s">
        <v>19</v>
      </c>
      <c r="B1280" s="1"/>
      <c r="C1280" s="1" t="s">
        <v>20</v>
      </c>
      <c r="D1280" s="3">
        <v>96000</v>
      </c>
      <c r="E1280"/>
      <c r="F1280"/>
      <c r="G1280"/>
      <c r="H1280"/>
      <c r="I1280"/>
      <c r="J1280"/>
      <c r="K1280"/>
      <c r="L1280"/>
      <c r="M1280" s="18" t="s">
        <v>387</v>
      </c>
      <c r="N1280" t="s">
        <v>1255</v>
      </c>
      <c r="O1280" t="s">
        <v>1395</v>
      </c>
      <c r="P1280" s="1" t="s">
        <v>680</v>
      </c>
      <c r="Q1280" s="13" t="s">
        <v>25</v>
      </c>
      <c r="R1280">
        <v>3</v>
      </c>
      <c r="S1280">
        <v>32000</v>
      </c>
      <c r="T1280"/>
      <c r="U1280" s="9"/>
      <c r="V1280" s="9"/>
      <c r="W1280" s="9"/>
      <c r="X1280" s="9"/>
    </row>
    <row r="1281" spans="1:24">
      <c r="A1281" s="13" t="s">
        <v>19</v>
      </c>
      <c r="B1281" s="1"/>
      <c r="C1281" s="1" t="s">
        <v>20</v>
      </c>
      <c r="D1281" s="3">
        <v>96000</v>
      </c>
      <c r="E1281"/>
      <c r="F1281"/>
      <c r="G1281"/>
      <c r="H1281"/>
      <c r="I1281"/>
      <c r="J1281"/>
      <c r="K1281"/>
      <c r="L1281"/>
      <c r="M1281" s="18" t="s">
        <v>387</v>
      </c>
      <c r="N1281" t="s">
        <v>1255</v>
      </c>
      <c r="O1281" t="s">
        <v>1395</v>
      </c>
      <c r="P1281" s="1" t="s">
        <v>665</v>
      </c>
      <c r="Q1281" s="13" t="s">
        <v>25</v>
      </c>
      <c r="R1281">
        <v>3</v>
      </c>
      <c r="S1281">
        <v>32000</v>
      </c>
      <c r="T1281"/>
      <c r="U1281" s="9"/>
      <c r="V1281" s="9"/>
      <c r="W1281" s="9"/>
      <c r="X1281" s="9"/>
    </row>
    <row r="1282" spans="1:24">
      <c r="A1282" s="13" t="s">
        <v>19</v>
      </c>
      <c r="B1282" s="1"/>
      <c r="C1282" s="1" t="s">
        <v>29</v>
      </c>
      <c r="D1282" s="3">
        <v>15000</v>
      </c>
      <c r="E1282"/>
      <c r="F1282"/>
      <c r="G1282"/>
      <c r="H1282"/>
      <c r="I1282"/>
      <c r="J1282"/>
      <c r="K1282"/>
      <c r="L1282"/>
      <c r="M1282" s="18" t="s">
        <v>387</v>
      </c>
      <c r="N1282" t="s">
        <v>1255</v>
      </c>
      <c r="O1282" t="s">
        <v>1395</v>
      </c>
      <c r="P1282" s="1" t="s">
        <v>683</v>
      </c>
      <c r="Q1282" s="13" t="s">
        <v>25</v>
      </c>
      <c r="R1282">
        <v>3</v>
      </c>
      <c r="S1282">
        <v>5000</v>
      </c>
      <c r="T1282"/>
      <c r="U1282" s="9"/>
      <c r="V1282" s="9"/>
      <c r="W1282" s="9"/>
      <c r="X1282" s="9"/>
    </row>
    <row r="1283" spans="1:24">
      <c r="A1283" s="13" t="s">
        <v>19</v>
      </c>
      <c r="B1283" s="1"/>
      <c r="C1283" s="1" t="s">
        <v>29</v>
      </c>
      <c r="D1283" s="3">
        <v>15000</v>
      </c>
      <c r="E1283"/>
      <c r="F1283"/>
      <c r="G1283"/>
      <c r="H1283"/>
      <c r="I1283"/>
      <c r="J1283"/>
      <c r="K1283"/>
      <c r="L1283"/>
      <c r="M1283" s="18" t="s">
        <v>387</v>
      </c>
      <c r="N1283" t="s">
        <v>1255</v>
      </c>
      <c r="O1283" t="s">
        <v>1395</v>
      </c>
      <c r="P1283" s="1" t="s">
        <v>671</v>
      </c>
      <c r="Q1283" s="13" t="s">
        <v>25</v>
      </c>
      <c r="R1283">
        <v>3</v>
      </c>
      <c r="S1283">
        <v>5000</v>
      </c>
      <c r="T1283"/>
      <c r="U1283" s="9"/>
      <c r="V1283" s="9"/>
      <c r="W1283" s="9"/>
      <c r="X1283" s="9"/>
    </row>
    <row r="1284" spans="1:24">
      <c r="A1284" s="13"/>
      <c r="B1284" s="1"/>
      <c r="C1284" s="1"/>
      <c r="D1284" s="3" t="str">
        <f>SUBTOTAL(9,D1280:D1283)</f>
        <v>0</v>
      </c>
      <c r="E1284"/>
      <c r="F1284"/>
      <c r="G1284"/>
      <c r="H1284"/>
      <c r="I1284"/>
      <c r="J1284"/>
      <c r="K1284"/>
      <c r="L1284"/>
      <c r="M1284" s="18" t="s">
        <v>388</v>
      </c>
      <c r="N1284" t="s">
        <v>1539</v>
      </c>
      <c r="O1284" t="s">
        <v>1395</v>
      </c>
      <c r="P1284" s="1"/>
      <c r="Q1284" s="13"/>
      <c r="R1284"/>
      <c r="S1284"/>
      <c r="T1284"/>
      <c r="U1284" s="9"/>
      <c r="V1284" s="9"/>
      <c r="W1284" s="9"/>
      <c r="X1284" s="9"/>
    </row>
    <row r="1285" spans="1:24">
      <c r="A1285" s="13" t="s">
        <v>19</v>
      </c>
      <c r="B1285" s="1"/>
      <c r="C1285" s="1" t="s">
        <v>20</v>
      </c>
      <c r="D1285" s="3">
        <v>64000</v>
      </c>
      <c r="E1285"/>
      <c r="F1285"/>
      <c r="G1285"/>
      <c r="H1285"/>
      <c r="I1285"/>
      <c r="J1285"/>
      <c r="K1285"/>
      <c r="L1285"/>
      <c r="M1285" s="18" t="s">
        <v>389</v>
      </c>
      <c r="N1285" t="s">
        <v>1303</v>
      </c>
      <c r="O1285" t="s">
        <v>1395</v>
      </c>
      <c r="P1285" s="1" t="s">
        <v>24</v>
      </c>
      <c r="Q1285" s="13" t="s">
        <v>25</v>
      </c>
      <c r="R1285">
        <v>2</v>
      </c>
      <c r="S1285">
        <v>32000</v>
      </c>
      <c r="T1285"/>
      <c r="U1285" s="9"/>
      <c r="V1285" s="9"/>
      <c r="W1285" s="9"/>
      <c r="X1285" s="9"/>
    </row>
    <row r="1286" spans="1:24">
      <c r="A1286" s="13" t="s">
        <v>19</v>
      </c>
      <c r="B1286" s="1"/>
      <c r="C1286" s="1" t="s">
        <v>20</v>
      </c>
      <c r="D1286" s="3">
        <v>64000</v>
      </c>
      <c r="E1286"/>
      <c r="F1286"/>
      <c r="G1286"/>
      <c r="H1286"/>
      <c r="I1286"/>
      <c r="J1286"/>
      <c r="K1286"/>
      <c r="L1286"/>
      <c r="M1286" s="18" t="s">
        <v>389</v>
      </c>
      <c r="N1286" t="s">
        <v>1303</v>
      </c>
      <c r="O1286" t="s">
        <v>1395</v>
      </c>
      <c r="P1286" s="1" t="s">
        <v>24</v>
      </c>
      <c r="Q1286" s="13" t="s">
        <v>25</v>
      </c>
      <c r="R1286">
        <v>2</v>
      </c>
      <c r="S1286">
        <v>32000</v>
      </c>
      <c r="T1286"/>
      <c r="U1286" s="9"/>
      <c r="V1286" s="9"/>
      <c r="W1286" s="9"/>
      <c r="X1286" s="9"/>
    </row>
    <row r="1287" spans="1:24">
      <c r="A1287" s="13" t="s">
        <v>19</v>
      </c>
      <c r="B1287" s="1"/>
      <c r="C1287" s="1" t="s">
        <v>29</v>
      </c>
      <c r="D1287" s="3">
        <v>10000</v>
      </c>
      <c r="E1287"/>
      <c r="F1287"/>
      <c r="G1287"/>
      <c r="H1287"/>
      <c r="I1287"/>
      <c r="J1287"/>
      <c r="K1287"/>
      <c r="L1287"/>
      <c r="M1287" s="18" t="s">
        <v>389</v>
      </c>
      <c r="N1287" t="s">
        <v>1303</v>
      </c>
      <c r="O1287" t="s">
        <v>1395</v>
      </c>
      <c r="P1287" s="1" t="s">
        <v>30</v>
      </c>
      <c r="Q1287" s="13" t="s">
        <v>25</v>
      </c>
      <c r="R1287">
        <v>2</v>
      </c>
      <c r="S1287">
        <v>5000</v>
      </c>
      <c r="T1287"/>
      <c r="U1287" s="9"/>
      <c r="V1287" s="9"/>
      <c r="W1287" s="9"/>
      <c r="X1287" s="9"/>
    </row>
    <row r="1288" spans="1:24">
      <c r="A1288" s="13" t="s">
        <v>19</v>
      </c>
      <c r="B1288" s="1"/>
      <c r="C1288" s="1" t="s">
        <v>29</v>
      </c>
      <c r="D1288" s="3">
        <v>10000</v>
      </c>
      <c r="E1288"/>
      <c r="F1288"/>
      <c r="G1288"/>
      <c r="H1288"/>
      <c r="I1288"/>
      <c r="J1288"/>
      <c r="K1288"/>
      <c r="L1288"/>
      <c r="M1288" s="18" t="s">
        <v>389</v>
      </c>
      <c r="N1288" t="s">
        <v>1303</v>
      </c>
      <c r="O1288" t="s">
        <v>1395</v>
      </c>
      <c r="P1288" s="1" t="s">
        <v>30</v>
      </c>
      <c r="Q1288" s="13" t="s">
        <v>25</v>
      </c>
      <c r="R1288">
        <v>2</v>
      </c>
      <c r="S1288">
        <v>5000</v>
      </c>
      <c r="T1288"/>
      <c r="U1288" s="9"/>
      <c r="V1288" s="9"/>
      <c r="W1288" s="9"/>
      <c r="X1288" s="9"/>
    </row>
    <row r="1289" spans="1:24">
      <c r="A1289" s="13"/>
      <c r="B1289" s="1"/>
      <c r="C1289" s="1"/>
      <c r="D1289" s="3" t="str">
        <f>SUBTOTAL(9,D1285:D1288)</f>
        <v>0</v>
      </c>
      <c r="E1289"/>
      <c r="F1289"/>
      <c r="G1289"/>
      <c r="H1289"/>
      <c r="I1289"/>
      <c r="J1289"/>
      <c r="K1289"/>
      <c r="L1289"/>
      <c r="M1289" s="18" t="s">
        <v>390</v>
      </c>
      <c r="N1289" t="s">
        <v>1540</v>
      </c>
      <c r="O1289" t="s">
        <v>1395</v>
      </c>
      <c r="P1289" s="1"/>
      <c r="Q1289" s="13"/>
      <c r="R1289"/>
      <c r="S1289"/>
      <c r="T1289"/>
      <c r="U1289" s="9"/>
      <c r="V1289" s="9"/>
      <c r="W1289" s="9"/>
      <c r="X1289" s="9"/>
    </row>
    <row r="1290" spans="1:24">
      <c r="A1290" s="13" t="s">
        <v>19</v>
      </c>
      <c r="B1290" s="1"/>
      <c r="C1290" s="1" t="s">
        <v>20</v>
      </c>
      <c r="D1290" s="3">
        <v>128000</v>
      </c>
      <c r="E1290"/>
      <c r="F1290"/>
      <c r="G1290"/>
      <c r="H1290"/>
      <c r="I1290"/>
      <c r="J1290"/>
      <c r="K1290"/>
      <c r="L1290"/>
      <c r="M1290" s="18" t="s">
        <v>391</v>
      </c>
      <c r="N1290" t="s">
        <v>1305</v>
      </c>
      <c r="O1290" t="s">
        <v>23</v>
      </c>
      <c r="P1290" s="1" t="s">
        <v>24</v>
      </c>
      <c r="Q1290" s="13" t="s">
        <v>25</v>
      </c>
      <c r="R1290">
        <v>4</v>
      </c>
      <c r="S1290">
        <v>32000</v>
      </c>
      <c r="T1290"/>
      <c r="U1290" s="9"/>
      <c r="V1290" s="9"/>
      <c r="W1290" s="9"/>
      <c r="X1290" s="9"/>
    </row>
    <row r="1291" spans="1:24">
      <c r="A1291" s="13" t="s">
        <v>19</v>
      </c>
      <c r="B1291" s="1"/>
      <c r="C1291" s="1" t="s">
        <v>20</v>
      </c>
      <c r="D1291" s="3">
        <v>64000</v>
      </c>
      <c r="E1291"/>
      <c r="F1291"/>
      <c r="G1291"/>
      <c r="H1291"/>
      <c r="I1291"/>
      <c r="J1291"/>
      <c r="K1291"/>
      <c r="L1291"/>
      <c r="M1291" s="18" t="s">
        <v>391</v>
      </c>
      <c r="N1291" t="s">
        <v>1305</v>
      </c>
      <c r="O1291" t="s">
        <v>23</v>
      </c>
      <c r="P1291" s="1" t="s">
        <v>24</v>
      </c>
      <c r="Q1291" s="13" t="s">
        <v>25</v>
      </c>
      <c r="R1291">
        <v>2</v>
      </c>
      <c r="S1291">
        <v>32000</v>
      </c>
      <c r="T1291"/>
      <c r="U1291" s="9"/>
      <c r="V1291" s="9"/>
      <c r="W1291" s="9"/>
      <c r="X1291" s="9"/>
    </row>
    <row r="1292" spans="1:24">
      <c r="A1292" s="13" t="s">
        <v>19</v>
      </c>
      <c r="B1292" s="1"/>
      <c r="C1292" s="1" t="s">
        <v>29</v>
      </c>
      <c r="D1292" s="3">
        <v>20000</v>
      </c>
      <c r="E1292"/>
      <c r="F1292"/>
      <c r="G1292"/>
      <c r="H1292"/>
      <c r="I1292"/>
      <c r="J1292"/>
      <c r="K1292"/>
      <c r="L1292"/>
      <c r="M1292" s="18" t="s">
        <v>391</v>
      </c>
      <c r="N1292" t="s">
        <v>1305</v>
      </c>
      <c r="O1292" t="s">
        <v>23</v>
      </c>
      <c r="P1292" s="1" t="s">
        <v>30</v>
      </c>
      <c r="Q1292" s="13" t="s">
        <v>25</v>
      </c>
      <c r="R1292">
        <v>4</v>
      </c>
      <c r="S1292">
        <v>5000</v>
      </c>
      <c r="T1292"/>
      <c r="U1292" s="9"/>
      <c r="V1292" s="9"/>
      <c r="W1292" s="9"/>
      <c r="X1292" s="9"/>
    </row>
    <row r="1293" spans="1:24">
      <c r="A1293" s="13" t="s">
        <v>19</v>
      </c>
      <c r="B1293" s="1"/>
      <c r="C1293" s="1" t="s">
        <v>29</v>
      </c>
      <c r="D1293" s="3">
        <v>10000</v>
      </c>
      <c r="E1293"/>
      <c r="F1293"/>
      <c r="G1293"/>
      <c r="H1293"/>
      <c r="I1293"/>
      <c r="J1293"/>
      <c r="K1293"/>
      <c r="L1293"/>
      <c r="M1293" s="18" t="s">
        <v>391</v>
      </c>
      <c r="N1293" t="s">
        <v>1305</v>
      </c>
      <c r="O1293" t="s">
        <v>23</v>
      </c>
      <c r="P1293" s="1" t="s">
        <v>30</v>
      </c>
      <c r="Q1293" s="13" t="s">
        <v>25</v>
      </c>
      <c r="R1293">
        <v>2</v>
      </c>
      <c r="S1293">
        <v>5000</v>
      </c>
      <c r="T1293"/>
      <c r="U1293" s="9"/>
      <c r="V1293" s="9"/>
      <c r="W1293" s="9"/>
      <c r="X1293" s="9"/>
    </row>
    <row r="1294" spans="1:24">
      <c r="A1294" s="13"/>
      <c r="B1294" s="1"/>
      <c r="C1294" s="1"/>
      <c r="D1294" s="3" t="str">
        <f>SUBTOTAL(9,D1290:D1293)</f>
        <v>0</v>
      </c>
      <c r="E1294"/>
      <c r="F1294"/>
      <c r="G1294"/>
      <c r="H1294"/>
      <c r="I1294"/>
      <c r="J1294"/>
      <c r="K1294"/>
      <c r="L1294"/>
      <c r="M1294" s="18" t="s">
        <v>392</v>
      </c>
      <c r="N1294" t="s">
        <v>1541</v>
      </c>
      <c r="O1294" t="s">
        <v>23</v>
      </c>
      <c r="P1294" s="1"/>
      <c r="Q1294" s="13"/>
      <c r="R1294"/>
      <c r="S1294"/>
      <c r="T1294"/>
      <c r="U1294" s="9"/>
      <c r="V1294" s="9"/>
      <c r="W1294" s="9"/>
      <c r="X1294" s="9"/>
    </row>
    <row r="1295" spans="1:24">
      <c r="A1295" s="13" t="s">
        <v>19</v>
      </c>
      <c r="B1295" s="1"/>
      <c r="C1295" s="1" t="s">
        <v>20</v>
      </c>
      <c r="D1295" s="3">
        <v>32000</v>
      </c>
      <c r="E1295"/>
      <c r="F1295"/>
      <c r="G1295"/>
      <c r="H1295"/>
      <c r="I1295"/>
      <c r="J1295"/>
      <c r="K1295"/>
      <c r="L1295"/>
      <c r="M1295" s="18" t="s">
        <v>393</v>
      </c>
      <c r="N1295" t="s">
        <v>1242</v>
      </c>
      <c r="O1295" t="s">
        <v>97</v>
      </c>
      <c r="P1295" s="1" t="s">
        <v>24</v>
      </c>
      <c r="Q1295" s="13" t="s">
        <v>25</v>
      </c>
      <c r="R1295">
        <v>1</v>
      </c>
      <c r="S1295">
        <v>32000</v>
      </c>
      <c r="T1295"/>
      <c r="U1295" s="9"/>
      <c r="V1295" s="9"/>
      <c r="W1295" s="9"/>
      <c r="X1295" s="9"/>
    </row>
    <row r="1296" spans="1:24">
      <c r="A1296" s="13" t="s">
        <v>19</v>
      </c>
      <c r="B1296" s="1"/>
      <c r="C1296" s="1" t="s">
        <v>29</v>
      </c>
      <c r="D1296" s="3">
        <v>5000</v>
      </c>
      <c r="E1296"/>
      <c r="F1296"/>
      <c r="G1296"/>
      <c r="H1296"/>
      <c r="I1296"/>
      <c r="J1296"/>
      <c r="K1296"/>
      <c r="L1296"/>
      <c r="M1296" s="18" t="s">
        <v>393</v>
      </c>
      <c r="N1296" t="s">
        <v>1242</v>
      </c>
      <c r="O1296" t="s">
        <v>97</v>
      </c>
      <c r="P1296" s="1" t="s">
        <v>30</v>
      </c>
      <c r="Q1296" s="13" t="s">
        <v>25</v>
      </c>
      <c r="R1296">
        <v>1</v>
      </c>
      <c r="S1296">
        <v>5000</v>
      </c>
      <c r="T1296"/>
      <c r="U1296" s="9"/>
      <c r="V1296" s="9"/>
      <c r="W1296" s="9"/>
      <c r="X1296" s="9"/>
    </row>
    <row r="1297" spans="1:24">
      <c r="A1297" s="13"/>
      <c r="B1297" s="1"/>
      <c r="C1297" s="1"/>
      <c r="D1297" s="3" t="str">
        <f>SUBTOTAL(9,D1295:D1296)</f>
        <v>0</v>
      </c>
      <c r="E1297"/>
      <c r="F1297"/>
      <c r="G1297"/>
      <c r="H1297"/>
      <c r="I1297"/>
      <c r="J1297"/>
      <c r="K1297"/>
      <c r="L1297"/>
      <c r="M1297" s="18" t="s">
        <v>394</v>
      </c>
      <c r="N1297" t="s">
        <v>1542</v>
      </c>
      <c r="O1297" t="s">
        <v>97</v>
      </c>
      <c r="P1297" s="1"/>
      <c r="Q1297" s="13"/>
      <c r="R1297"/>
      <c r="S1297"/>
      <c r="T1297"/>
      <c r="U1297" s="9"/>
      <c r="V1297" s="9"/>
      <c r="W1297" s="9"/>
      <c r="X1297" s="9"/>
    </row>
    <row r="1298" spans="1:24">
      <c r="A1298" s="13" t="s">
        <v>19</v>
      </c>
      <c r="B1298" s="1"/>
      <c r="C1298" s="1" t="s">
        <v>20</v>
      </c>
      <c r="D1298" s="3">
        <v>64000</v>
      </c>
      <c r="E1298"/>
      <c r="F1298"/>
      <c r="G1298"/>
      <c r="H1298"/>
      <c r="I1298"/>
      <c r="J1298"/>
      <c r="K1298"/>
      <c r="L1298"/>
      <c r="M1298" s="18" t="s">
        <v>395</v>
      </c>
      <c r="N1298" t="s">
        <v>1245</v>
      </c>
      <c r="O1298" t="s">
        <v>97</v>
      </c>
      <c r="P1298" s="1" t="s">
        <v>24</v>
      </c>
      <c r="Q1298" s="13" t="s">
        <v>25</v>
      </c>
      <c r="R1298">
        <v>2</v>
      </c>
      <c r="S1298">
        <v>32000</v>
      </c>
      <c r="T1298"/>
      <c r="U1298" s="9"/>
      <c r="V1298" s="9"/>
      <c r="W1298" s="9"/>
      <c r="X1298" s="9"/>
    </row>
    <row r="1299" spans="1:24">
      <c r="A1299" s="13" t="s">
        <v>19</v>
      </c>
      <c r="B1299" s="1"/>
      <c r="C1299" s="1" t="s">
        <v>20</v>
      </c>
      <c r="D1299" s="3">
        <v>64000</v>
      </c>
      <c r="E1299"/>
      <c r="F1299"/>
      <c r="G1299"/>
      <c r="H1299"/>
      <c r="I1299"/>
      <c r="J1299"/>
      <c r="K1299"/>
      <c r="L1299"/>
      <c r="M1299" s="18" t="s">
        <v>395</v>
      </c>
      <c r="N1299" t="s">
        <v>1245</v>
      </c>
      <c r="O1299" t="s">
        <v>97</v>
      </c>
      <c r="P1299" s="1" t="s">
        <v>890</v>
      </c>
      <c r="Q1299" s="13" t="s">
        <v>25</v>
      </c>
      <c r="R1299">
        <v>2</v>
      </c>
      <c r="S1299">
        <v>32000</v>
      </c>
      <c r="T1299"/>
      <c r="U1299" s="9"/>
      <c r="V1299" s="9"/>
      <c r="W1299" s="9"/>
      <c r="X1299" s="9"/>
    </row>
    <row r="1300" spans="1:24">
      <c r="A1300" s="13" t="s">
        <v>19</v>
      </c>
      <c r="B1300" s="1"/>
      <c r="C1300" s="1" t="s">
        <v>29</v>
      </c>
      <c r="D1300" s="3">
        <v>10000</v>
      </c>
      <c r="E1300"/>
      <c r="F1300"/>
      <c r="G1300"/>
      <c r="H1300"/>
      <c r="I1300"/>
      <c r="J1300"/>
      <c r="K1300"/>
      <c r="L1300"/>
      <c r="M1300" s="18" t="s">
        <v>395</v>
      </c>
      <c r="N1300" t="s">
        <v>1245</v>
      </c>
      <c r="O1300" t="s">
        <v>97</v>
      </c>
      <c r="P1300" s="1" t="s">
        <v>30</v>
      </c>
      <c r="Q1300" s="13" t="s">
        <v>25</v>
      </c>
      <c r="R1300">
        <v>2</v>
      </c>
      <c r="S1300">
        <v>5000</v>
      </c>
      <c r="T1300"/>
      <c r="U1300" s="9"/>
      <c r="V1300" s="9"/>
      <c r="W1300" s="9"/>
      <c r="X1300" s="9"/>
    </row>
    <row r="1301" spans="1:24">
      <c r="A1301" s="13" t="s">
        <v>19</v>
      </c>
      <c r="B1301" s="1"/>
      <c r="C1301" s="1" t="s">
        <v>29</v>
      </c>
      <c r="D1301" s="3">
        <v>10000</v>
      </c>
      <c r="E1301"/>
      <c r="F1301"/>
      <c r="G1301"/>
      <c r="H1301"/>
      <c r="I1301"/>
      <c r="J1301"/>
      <c r="K1301"/>
      <c r="L1301"/>
      <c r="M1301" s="18" t="s">
        <v>395</v>
      </c>
      <c r="N1301" t="s">
        <v>1245</v>
      </c>
      <c r="O1301" t="s">
        <v>97</v>
      </c>
      <c r="P1301" s="1" t="s">
        <v>891</v>
      </c>
      <c r="Q1301" s="13" t="s">
        <v>25</v>
      </c>
      <c r="R1301">
        <v>2</v>
      </c>
      <c r="S1301">
        <v>5000</v>
      </c>
      <c r="T1301"/>
      <c r="U1301" s="9"/>
      <c r="V1301" s="9"/>
      <c r="W1301" s="9"/>
      <c r="X1301" s="9"/>
    </row>
    <row r="1302" spans="1:24">
      <c r="A1302" s="13"/>
      <c r="B1302" s="1"/>
      <c r="C1302" s="1"/>
      <c r="D1302" s="3" t="str">
        <f>SUBTOTAL(9,D1298:D1301)</f>
        <v>0</v>
      </c>
      <c r="E1302"/>
      <c r="F1302"/>
      <c r="G1302"/>
      <c r="H1302"/>
      <c r="I1302"/>
      <c r="J1302"/>
      <c r="K1302"/>
      <c r="L1302"/>
      <c r="M1302" s="18" t="s">
        <v>396</v>
      </c>
      <c r="N1302" t="s">
        <v>1543</v>
      </c>
      <c r="O1302" t="s">
        <v>97</v>
      </c>
      <c r="P1302" s="1"/>
      <c r="Q1302" s="13"/>
      <c r="R1302"/>
      <c r="S1302"/>
      <c r="T1302"/>
      <c r="U1302" s="9"/>
      <c r="V1302" s="9"/>
      <c r="W1302" s="9"/>
      <c r="X1302" s="9"/>
    </row>
    <row r="1303" spans="1:24">
      <c r="A1303" s="13" t="s">
        <v>19</v>
      </c>
      <c r="B1303" s="1"/>
      <c r="C1303" s="1" t="s">
        <v>20</v>
      </c>
      <c r="D1303" s="3">
        <v>30000</v>
      </c>
      <c r="E1303"/>
      <c r="F1303"/>
      <c r="G1303"/>
      <c r="H1303"/>
      <c r="I1303"/>
      <c r="J1303"/>
      <c r="K1303"/>
      <c r="L1303"/>
      <c r="M1303" s="18" t="s">
        <v>397</v>
      </c>
      <c r="N1303" t="s">
        <v>1313</v>
      </c>
      <c r="O1303" t="s">
        <v>1395</v>
      </c>
      <c r="P1303" s="1" t="s">
        <v>24</v>
      </c>
      <c r="Q1303" s="13" t="s">
        <v>25</v>
      </c>
      <c r="R1303">
        <v>1</v>
      </c>
      <c r="S1303">
        <v>30000</v>
      </c>
      <c r="T1303"/>
      <c r="U1303" s="9"/>
      <c r="V1303" s="9"/>
      <c r="W1303" s="9"/>
      <c r="X1303" s="9"/>
    </row>
    <row r="1304" spans="1:24">
      <c r="A1304" s="13" t="s">
        <v>19</v>
      </c>
      <c r="B1304" s="1"/>
      <c r="C1304" s="1" t="s">
        <v>20</v>
      </c>
      <c r="D1304" s="3">
        <v>64000</v>
      </c>
      <c r="E1304"/>
      <c r="F1304"/>
      <c r="G1304"/>
      <c r="H1304"/>
      <c r="I1304"/>
      <c r="J1304"/>
      <c r="K1304"/>
      <c r="L1304"/>
      <c r="M1304" s="18" t="s">
        <v>397</v>
      </c>
      <c r="N1304" t="s">
        <v>1313</v>
      </c>
      <c r="O1304" t="s">
        <v>1395</v>
      </c>
      <c r="P1304" s="1" t="s">
        <v>24</v>
      </c>
      <c r="Q1304" s="13" t="s">
        <v>25</v>
      </c>
      <c r="R1304">
        <v>2</v>
      </c>
      <c r="S1304">
        <v>32000</v>
      </c>
      <c r="T1304"/>
      <c r="U1304" s="9"/>
      <c r="V1304" s="9"/>
      <c r="W1304" s="9"/>
      <c r="X1304" s="9"/>
    </row>
    <row r="1305" spans="1:24">
      <c r="A1305" s="13" t="s">
        <v>19</v>
      </c>
      <c r="B1305" s="1"/>
      <c r="C1305" s="1" t="s">
        <v>20</v>
      </c>
      <c r="D1305" s="3">
        <v>30000</v>
      </c>
      <c r="E1305"/>
      <c r="F1305"/>
      <c r="G1305"/>
      <c r="H1305"/>
      <c r="I1305"/>
      <c r="J1305"/>
      <c r="K1305"/>
      <c r="L1305"/>
      <c r="M1305" s="18" t="s">
        <v>397</v>
      </c>
      <c r="N1305" t="s">
        <v>1313</v>
      </c>
      <c r="O1305" t="s">
        <v>1395</v>
      </c>
      <c r="P1305" s="1" t="s">
        <v>24</v>
      </c>
      <c r="Q1305" s="13" t="s">
        <v>25</v>
      </c>
      <c r="R1305">
        <v>1</v>
      </c>
      <c r="S1305">
        <v>30000</v>
      </c>
      <c r="T1305"/>
      <c r="U1305" s="9"/>
      <c r="V1305" s="9"/>
      <c r="W1305" s="9"/>
      <c r="X1305" s="9"/>
    </row>
    <row r="1306" spans="1:24">
      <c r="A1306" s="13" t="s">
        <v>19</v>
      </c>
      <c r="B1306" s="1"/>
      <c r="C1306" s="1" t="s">
        <v>29</v>
      </c>
      <c r="D1306" s="3">
        <v>7000</v>
      </c>
      <c r="E1306"/>
      <c r="F1306"/>
      <c r="G1306"/>
      <c r="H1306"/>
      <c r="I1306"/>
      <c r="J1306"/>
      <c r="K1306"/>
      <c r="L1306"/>
      <c r="M1306" s="18" t="s">
        <v>397</v>
      </c>
      <c r="N1306" t="s">
        <v>1313</v>
      </c>
      <c r="O1306" t="s">
        <v>1395</v>
      </c>
      <c r="P1306" s="1" t="s">
        <v>30</v>
      </c>
      <c r="Q1306" s="13" t="s">
        <v>25</v>
      </c>
      <c r="R1306">
        <v>1</v>
      </c>
      <c r="S1306">
        <v>7000</v>
      </c>
      <c r="T1306"/>
      <c r="U1306" s="9"/>
      <c r="V1306" s="9"/>
      <c r="W1306" s="9"/>
      <c r="X1306" s="9"/>
    </row>
    <row r="1307" spans="1:24">
      <c r="A1307" s="13" t="s">
        <v>19</v>
      </c>
      <c r="B1307" s="1"/>
      <c r="C1307" s="1" t="s">
        <v>29</v>
      </c>
      <c r="D1307" s="3">
        <v>10000</v>
      </c>
      <c r="E1307"/>
      <c r="F1307"/>
      <c r="G1307"/>
      <c r="H1307"/>
      <c r="I1307"/>
      <c r="J1307"/>
      <c r="K1307"/>
      <c r="L1307"/>
      <c r="M1307" s="18" t="s">
        <v>397</v>
      </c>
      <c r="N1307" t="s">
        <v>1313</v>
      </c>
      <c r="O1307" t="s">
        <v>1395</v>
      </c>
      <c r="P1307" s="1" t="s">
        <v>30</v>
      </c>
      <c r="Q1307" s="13" t="s">
        <v>25</v>
      </c>
      <c r="R1307">
        <v>2</v>
      </c>
      <c r="S1307">
        <v>5000</v>
      </c>
      <c r="T1307"/>
      <c r="U1307" s="9"/>
      <c r="V1307" s="9"/>
      <c r="W1307" s="9"/>
      <c r="X1307" s="9"/>
    </row>
    <row r="1308" spans="1:24">
      <c r="A1308" s="13" t="s">
        <v>19</v>
      </c>
      <c r="B1308" s="1"/>
      <c r="C1308" s="1" t="s">
        <v>29</v>
      </c>
      <c r="D1308" s="3">
        <v>7000</v>
      </c>
      <c r="E1308"/>
      <c r="F1308"/>
      <c r="G1308"/>
      <c r="H1308"/>
      <c r="I1308"/>
      <c r="J1308"/>
      <c r="K1308"/>
      <c r="L1308"/>
      <c r="M1308" s="18" t="s">
        <v>397</v>
      </c>
      <c r="N1308" t="s">
        <v>1313</v>
      </c>
      <c r="O1308" t="s">
        <v>1395</v>
      </c>
      <c r="P1308" s="1" t="s">
        <v>30</v>
      </c>
      <c r="Q1308" s="13" t="s">
        <v>25</v>
      </c>
      <c r="R1308">
        <v>1</v>
      </c>
      <c r="S1308">
        <v>7000</v>
      </c>
      <c r="T1308"/>
      <c r="U1308" s="9"/>
      <c r="V1308" s="9"/>
      <c r="W1308" s="9"/>
      <c r="X1308" s="9"/>
    </row>
    <row r="1309" spans="1:24">
      <c r="A1309" s="13"/>
      <c r="B1309" s="1"/>
      <c r="C1309" s="1"/>
      <c r="D1309" s="3" t="str">
        <f>SUBTOTAL(9,D1303:D1308)</f>
        <v>0</v>
      </c>
      <c r="E1309"/>
      <c r="F1309"/>
      <c r="G1309"/>
      <c r="H1309"/>
      <c r="I1309"/>
      <c r="J1309"/>
      <c r="K1309"/>
      <c r="L1309"/>
      <c r="M1309" s="18" t="s">
        <v>398</v>
      </c>
      <c r="N1309" t="s">
        <v>1544</v>
      </c>
      <c r="O1309" t="s">
        <v>1395</v>
      </c>
      <c r="P1309" s="1"/>
      <c r="Q1309" s="13"/>
      <c r="R1309"/>
      <c r="S1309"/>
      <c r="T1309"/>
      <c r="U1309" s="9"/>
      <c r="V1309" s="9"/>
      <c r="W1309" s="9"/>
      <c r="X1309" s="9"/>
    </row>
    <row r="1310" spans="1:24">
      <c r="A1310" s="13" t="s">
        <v>19</v>
      </c>
      <c r="B1310" s="1"/>
      <c r="C1310" s="1" t="s">
        <v>20</v>
      </c>
      <c r="D1310" s="3">
        <v>64000</v>
      </c>
      <c r="E1310"/>
      <c r="F1310"/>
      <c r="G1310"/>
      <c r="H1310"/>
      <c r="I1310"/>
      <c r="J1310"/>
      <c r="K1310"/>
      <c r="L1310"/>
      <c r="M1310" s="18" t="s">
        <v>399</v>
      </c>
      <c r="N1310" t="s">
        <v>1312</v>
      </c>
      <c r="O1310" t="s">
        <v>1395</v>
      </c>
      <c r="P1310" s="1" t="s">
        <v>680</v>
      </c>
      <c r="Q1310" s="13" t="s">
        <v>25</v>
      </c>
      <c r="R1310">
        <v>2</v>
      </c>
      <c r="S1310">
        <v>32000</v>
      </c>
      <c r="T1310"/>
      <c r="U1310" s="9"/>
      <c r="V1310" s="9"/>
      <c r="W1310" s="9"/>
      <c r="X1310" s="9"/>
    </row>
    <row r="1311" spans="1:24">
      <c r="A1311" s="13" t="s">
        <v>19</v>
      </c>
      <c r="B1311" s="1"/>
      <c r="C1311" s="1" t="s">
        <v>29</v>
      </c>
      <c r="D1311" s="3">
        <v>10000</v>
      </c>
      <c r="E1311"/>
      <c r="F1311"/>
      <c r="G1311"/>
      <c r="H1311"/>
      <c r="I1311"/>
      <c r="J1311"/>
      <c r="K1311"/>
      <c r="L1311"/>
      <c r="M1311" s="18" t="s">
        <v>399</v>
      </c>
      <c r="N1311" t="s">
        <v>1312</v>
      </c>
      <c r="O1311" t="s">
        <v>1395</v>
      </c>
      <c r="P1311" s="1" t="s">
        <v>683</v>
      </c>
      <c r="Q1311" s="13" t="s">
        <v>25</v>
      </c>
      <c r="R1311">
        <v>2</v>
      </c>
      <c r="S1311">
        <v>5000</v>
      </c>
      <c r="T1311"/>
      <c r="U1311" s="9"/>
      <c r="V1311" s="9"/>
      <c r="W1311" s="9"/>
      <c r="X1311" s="9"/>
    </row>
    <row r="1312" spans="1:24">
      <c r="A1312" s="13"/>
      <c r="B1312" s="1"/>
      <c r="C1312" s="1"/>
      <c r="D1312" s="3" t="str">
        <f>SUBTOTAL(9,D1310:D1311)</f>
        <v>0</v>
      </c>
      <c r="E1312"/>
      <c r="F1312"/>
      <c r="G1312"/>
      <c r="H1312"/>
      <c r="I1312"/>
      <c r="J1312"/>
      <c r="K1312"/>
      <c r="L1312"/>
      <c r="M1312" s="18" t="s">
        <v>400</v>
      </c>
      <c r="N1312" t="s">
        <v>1545</v>
      </c>
      <c r="O1312" t="s">
        <v>1395</v>
      </c>
      <c r="P1312" s="1"/>
      <c r="Q1312" s="13"/>
      <c r="R1312"/>
      <c r="S1312"/>
      <c r="T1312"/>
      <c r="U1312" s="9"/>
      <c r="V1312" s="9"/>
      <c r="W1312" s="9"/>
      <c r="X1312" s="9"/>
    </row>
    <row r="1313" spans="1:24">
      <c r="A1313" s="13" t="s">
        <v>19</v>
      </c>
      <c r="B1313" s="1"/>
      <c r="C1313" s="1" t="s">
        <v>20</v>
      </c>
      <c r="D1313" s="3">
        <v>64000</v>
      </c>
      <c r="E1313"/>
      <c r="F1313"/>
      <c r="G1313"/>
      <c r="H1313"/>
      <c r="I1313"/>
      <c r="J1313"/>
      <c r="K1313"/>
      <c r="L1313"/>
      <c r="M1313" s="18" t="s">
        <v>401</v>
      </c>
      <c r="N1313" t="s">
        <v>1314</v>
      </c>
      <c r="O1313" t="s">
        <v>98</v>
      </c>
      <c r="P1313" s="1" t="s">
        <v>24</v>
      </c>
      <c r="Q1313" s="13" t="s">
        <v>25</v>
      </c>
      <c r="R1313">
        <v>2</v>
      </c>
      <c r="S1313">
        <v>32000</v>
      </c>
      <c r="T1313"/>
      <c r="U1313" s="9"/>
      <c r="V1313" s="9"/>
      <c r="W1313" s="9"/>
      <c r="X1313" s="9"/>
    </row>
    <row r="1314" spans="1:24">
      <c r="A1314" s="13" t="s">
        <v>19</v>
      </c>
      <c r="B1314" s="1"/>
      <c r="C1314" s="1" t="s">
        <v>26</v>
      </c>
      <c r="D1314" s="3">
        <v>74000</v>
      </c>
      <c r="E1314"/>
      <c r="F1314"/>
      <c r="G1314"/>
      <c r="H1314"/>
      <c r="I1314"/>
      <c r="J1314"/>
      <c r="K1314"/>
      <c r="L1314"/>
      <c r="M1314" s="18" t="s">
        <v>401</v>
      </c>
      <c r="N1314" t="s">
        <v>1314</v>
      </c>
      <c r="O1314" t="s">
        <v>98</v>
      </c>
      <c r="P1314" s="1" t="s">
        <v>892</v>
      </c>
      <c r="Q1314" s="13" t="s">
        <v>25</v>
      </c>
      <c r="R1314">
        <v>2</v>
      </c>
      <c r="S1314">
        <v>37000</v>
      </c>
      <c r="T1314"/>
      <c r="U1314" s="9"/>
      <c r="V1314" s="9"/>
      <c r="W1314" s="9"/>
      <c r="X1314" s="9"/>
    </row>
    <row r="1315" spans="1:24">
      <c r="A1315" s="13" t="s">
        <v>19</v>
      </c>
      <c r="B1315" s="1"/>
      <c r="C1315" s="1" t="s">
        <v>29</v>
      </c>
      <c r="D1315" s="3">
        <v>10000</v>
      </c>
      <c r="E1315"/>
      <c r="F1315"/>
      <c r="G1315"/>
      <c r="H1315"/>
      <c r="I1315"/>
      <c r="J1315"/>
      <c r="K1315"/>
      <c r="L1315"/>
      <c r="M1315" s="18" t="s">
        <v>401</v>
      </c>
      <c r="N1315" t="s">
        <v>1314</v>
      </c>
      <c r="O1315" t="s">
        <v>98</v>
      </c>
      <c r="P1315" s="1" t="s">
        <v>30</v>
      </c>
      <c r="Q1315" s="13" t="s">
        <v>25</v>
      </c>
      <c r="R1315">
        <v>2</v>
      </c>
      <c r="S1315">
        <v>5000</v>
      </c>
      <c r="T1315"/>
      <c r="U1315" s="9"/>
      <c r="V1315" s="9"/>
      <c r="W1315" s="9"/>
      <c r="X1315" s="9"/>
    </row>
    <row r="1316" spans="1:24">
      <c r="A1316" s="13" t="s">
        <v>19</v>
      </c>
      <c r="B1316" s="1"/>
      <c r="C1316" s="1" t="s">
        <v>32</v>
      </c>
      <c r="D1316" s="3">
        <v>10000</v>
      </c>
      <c r="E1316"/>
      <c r="F1316"/>
      <c r="G1316"/>
      <c r="H1316"/>
      <c r="I1316"/>
      <c r="J1316"/>
      <c r="K1316"/>
      <c r="L1316"/>
      <c r="M1316" s="18" t="s">
        <v>401</v>
      </c>
      <c r="N1316" t="s">
        <v>1314</v>
      </c>
      <c r="O1316" t="s">
        <v>98</v>
      </c>
      <c r="P1316" s="1" t="s">
        <v>893</v>
      </c>
      <c r="Q1316" s="13" t="s">
        <v>25</v>
      </c>
      <c r="R1316">
        <v>2</v>
      </c>
      <c r="S1316">
        <v>5000</v>
      </c>
      <c r="T1316"/>
      <c r="U1316" s="9"/>
      <c r="V1316" s="9"/>
      <c r="W1316" s="9"/>
      <c r="X1316" s="9"/>
    </row>
    <row r="1317" spans="1:24">
      <c r="A1317" s="13"/>
      <c r="B1317" s="1"/>
      <c r="C1317" s="1"/>
      <c r="D1317" s="3" t="str">
        <f>SUBTOTAL(9,D1313:D1316)</f>
        <v>0</v>
      </c>
      <c r="E1317"/>
      <c r="F1317"/>
      <c r="G1317"/>
      <c r="H1317"/>
      <c r="I1317"/>
      <c r="J1317"/>
      <c r="K1317"/>
      <c r="L1317"/>
      <c r="M1317" s="18" t="s">
        <v>402</v>
      </c>
      <c r="N1317" t="s">
        <v>1546</v>
      </c>
      <c r="O1317" t="s">
        <v>98</v>
      </c>
      <c r="P1317" s="1"/>
      <c r="Q1317" s="13"/>
      <c r="R1317"/>
      <c r="S1317"/>
      <c r="T1317"/>
      <c r="U1317" s="9"/>
      <c r="V1317" s="9"/>
      <c r="W1317" s="9"/>
      <c r="X1317" s="9"/>
    </row>
    <row r="1318" spans="1:24">
      <c r="A1318" s="13" t="s">
        <v>19</v>
      </c>
      <c r="B1318" s="1"/>
      <c r="C1318" s="1" t="s">
        <v>20</v>
      </c>
      <c r="D1318" s="3">
        <v>96000</v>
      </c>
      <c r="E1318"/>
      <c r="F1318"/>
      <c r="G1318"/>
      <c r="H1318"/>
      <c r="I1318"/>
      <c r="J1318"/>
      <c r="K1318"/>
      <c r="L1318"/>
      <c r="M1318" s="18" t="s">
        <v>403</v>
      </c>
      <c r="N1318" t="s">
        <v>1254</v>
      </c>
      <c r="O1318" t="s">
        <v>1395</v>
      </c>
      <c r="P1318" s="1" t="s">
        <v>24</v>
      </c>
      <c r="Q1318" s="13" t="s">
        <v>25</v>
      </c>
      <c r="R1318">
        <v>3</v>
      </c>
      <c r="S1318">
        <v>32000</v>
      </c>
      <c r="T1318"/>
      <c r="U1318" s="9"/>
      <c r="V1318" s="9"/>
      <c r="W1318" s="9"/>
      <c r="X1318" s="9"/>
    </row>
    <row r="1319" spans="1:24">
      <c r="A1319" s="13" t="s">
        <v>19</v>
      </c>
      <c r="B1319" s="1"/>
      <c r="C1319" s="1" t="s">
        <v>20</v>
      </c>
      <c r="D1319" s="3">
        <v>32000</v>
      </c>
      <c r="E1319"/>
      <c r="F1319"/>
      <c r="G1319"/>
      <c r="H1319"/>
      <c r="I1319"/>
      <c r="J1319"/>
      <c r="K1319"/>
      <c r="L1319"/>
      <c r="M1319" s="18" t="s">
        <v>403</v>
      </c>
      <c r="N1319" t="s">
        <v>1254</v>
      </c>
      <c r="O1319" t="s">
        <v>1395</v>
      </c>
      <c r="P1319" s="1" t="s">
        <v>24</v>
      </c>
      <c r="Q1319" s="13" t="s">
        <v>25</v>
      </c>
      <c r="R1319">
        <v>1</v>
      </c>
      <c r="S1319">
        <v>32000</v>
      </c>
      <c r="T1319"/>
      <c r="U1319" s="9"/>
      <c r="V1319" s="9"/>
      <c r="W1319" s="9"/>
      <c r="X1319" s="9"/>
    </row>
    <row r="1320" spans="1:24">
      <c r="A1320" s="13" t="s">
        <v>19</v>
      </c>
      <c r="B1320" s="1"/>
      <c r="C1320" s="1" t="s">
        <v>29</v>
      </c>
      <c r="D1320" s="3">
        <v>15000</v>
      </c>
      <c r="E1320"/>
      <c r="F1320"/>
      <c r="G1320"/>
      <c r="H1320"/>
      <c r="I1320"/>
      <c r="J1320"/>
      <c r="K1320"/>
      <c r="L1320"/>
      <c r="M1320" s="18" t="s">
        <v>403</v>
      </c>
      <c r="N1320" t="s">
        <v>1254</v>
      </c>
      <c r="O1320" t="s">
        <v>1395</v>
      </c>
      <c r="P1320" s="1" t="s">
        <v>30</v>
      </c>
      <c r="Q1320" s="13" t="s">
        <v>25</v>
      </c>
      <c r="R1320">
        <v>3</v>
      </c>
      <c r="S1320">
        <v>5000</v>
      </c>
      <c r="T1320"/>
      <c r="U1320" s="9"/>
      <c r="V1320" s="9"/>
      <c r="W1320" s="9"/>
      <c r="X1320" s="9"/>
    </row>
    <row r="1321" spans="1:24">
      <c r="A1321" s="13" t="s">
        <v>19</v>
      </c>
      <c r="B1321" s="1"/>
      <c r="C1321" s="1" t="s">
        <v>29</v>
      </c>
      <c r="D1321" s="3">
        <v>5000</v>
      </c>
      <c r="E1321"/>
      <c r="F1321"/>
      <c r="G1321"/>
      <c r="H1321"/>
      <c r="I1321"/>
      <c r="J1321"/>
      <c r="K1321"/>
      <c r="L1321"/>
      <c r="M1321" s="18" t="s">
        <v>403</v>
      </c>
      <c r="N1321" t="s">
        <v>1254</v>
      </c>
      <c r="O1321" t="s">
        <v>1395</v>
      </c>
      <c r="P1321" s="1" t="s">
        <v>30</v>
      </c>
      <c r="Q1321" s="13" t="s">
        <v>25</v>
      </c>
      <c r="R1321">
        <v>1</v>
      </c>
      <c r="S1321">
        <v>5000</v>
      </c>
      <c r="T1321"/>
      <c r="U1321" s="9"/>
      <c r="V1321" s="9"/>
      <c r="W1321" s="9"/>
      <c r="X1321" s="9"/>
    </row>
    <row r="1322" spans="1:24">
      <c r="A1322" s="13"/>
      <c r="B1322" s="1"/>
      <c r="C1322" s="1"/>
      <c r="D1322" s="3" t="str">
        <f>SUBTOTAL(9,D1318:D1321)</f>
        <v>0</v>
      </c>
      <c r="E1322"/>
      <c r="F1322"/>
      <c r="G1322"/>
      <c r="H1322"/>
      <c r="I1322"/>
      <c r="J1322"/>
      <c r="K1322"/>
      <c r="L1322"/>
      <c r="M1322" s="18" t="s">
        <v>404</v>
      </c>
      <c r="N1322" t="s">
        <v>1547</v>
      </c>
      <c r="O1322" t="s">
        <v>1395</v>
      </c>
      <c r="P1322" s="1"/>
      <c r="Q1322" s="13"/>
      <c r="R1322"/>
      <c r="S1322"/>
      <c r="T1322"/>
      <c r="U1322" s="9"/>
      <c r="V1322" s="9"/>
      <c r="W1322" s="9"/>
      <c r="X1322" s="9"/>
    </row>
    <row r="1323" spans="1:24">
      <c r="A1323" s="13" t="s">
        <v>19</v>
      </c>
      <c r="B1323" s="1"/>
      <c r="C1323" s="1" t="s">
        <v>20</v>
      </c>
      <c r="D1323" s="3">
        <v>64000</v>
      </c>
      <c r="E1323"/>
      <c r="F1323"/>
      <c r="G1323"/>
      <c r="H1323"/>
      <c r="I1323"/>
      <c r="J1323"/>
      <c r="K1323"/>
      <c r="L1323"/>
      <c r="M1323" s="18" t="s">
        <v>405</v>
      </c>
      <c r="N1323" t="s">
        <v>1377</v>
      </c>
      <c r="O1323" t="s">
        <v>1395</v>
      </c>
      <c r="P1323" s="1" t="s">
        <v>538</v>
      </c>
      <c r="Q1323" s="13" t="s">
        <v>25</v>
      </c>
      <c r="R1323">
        <v>2</v>
      </c>
      <c r="S1323">
        <v>32000</v>
      </c>
      <c r="T1323"/>
      <c r="U1323" s="9"/>
      <c r="V1323" s="9"/>
      <c r="W1323" s="9"/>
      <c r="X1323" s="9"/>
    </row>
    <row r="1324" spans="1:24">
      <c r="A1324" s="13" t="s">
        <v>19</v>
      </c>
      <c r="B1324" s="1"/>
      <c r="C1324" s="1" t="s">
        <v>20</v>
      </c>
      <c r="D1324" s="3">
        <v>64000</v>
      </c>
      <c r="E1324"/>
      <c r="F1324"/>
      <c r="G1324"/>
      <c r="H1324"/>
      <c r="I1324"/>
      <c r="J1324"/>
      <c r="K1324"/>
      <c r="L1324"/>
      <c r="M1324" s="18" t="s">
        <v>405</v>
      </c>
      <c r="N1324" t="s">
        <v>1377</v>
      </c>
      <c r="O1324" t="s">
        <v>1395</v>
      </c>
      <c r="P1324" s="1" t="s">
        <v>527</v>
      </c>
      <c r="Q1324" s="13" t="s">
        <v>25</v>
      </c>
      <c r="R1324">
        <v>2</v>
      </c>
      <c r="S1324">
        <v>32000</v>
      </c>
      <c r="T1324"/>
      <c r="U1324" s="9"/>
      <c r="V1324" s="9"/>
      <c r="W1324" s="9"/>
      <c r="X1324" s="9"/>
    </row>
    <row r="1325" spans="1:24">
      <c r="A1325" s="13" t="s">
        <v>19</v>
      </c>
      <c r="B1325" s="1"/>
      <c r="C1325" s="1" t="s">
        <v>29</v>
      </c>
      <c r="D1325" s="3">
        <v>10000</v>
      </c>
      <c r="E1325"/>
      <c r="F1325"/>
      <c r="G1325"/>
      <c r="H1325"/>
      <c r="I1325"/>
      <c r="J1325"/>
      <c r="K1325"/>
      <c r="L1325"/>
      <c r="M1325" s="18" t="s">
        <v>405</v>
      </c>
      <c r="N1325" t="s">
        <v>1377</v>
      </c>
      <c r="O1325" t="s">
        <v>1395</v>
      </c>
      <c r="P1325" s="1" t="s">
        <v>539</v>
      </c>
      <c r="Q1325" s="13" t="s">
        <v>25</v>
      </c>
      <c r="R1325">
        <v>2</v>
      </c>
      <c r="S1325">
        <v>5000</v>
      </c>
      <c r="T1325"/>
      <c r="U1325" s="9"/>
      <c r="V1325" s="9"/>
      <c r="W1325" s="9"/>
      <c r="X1325" s="9"/>
    </row>
    <row r="1326" spans="1:24">
      <c r="A1326" s="13" t="s">
        <v>19</v>
      </c>
      <c r="B1326" s="1"/>
      <c r="C1326" s="1" t="s">
        <v>29</v>
      </c>
      <c r="D1326" s="3">
        <v>10000</v>
      </c>
      <c r="E1326"/>
      <c r="F1326"/>
      <c r="G1326"/>
      <c r="H1326"/>
      <c r="I1326"/>
      <c r="J1326"/>
      <c r="K1326"/>
      <c r="L1326"/>
      <c r="M1326" s="18" t="s">
        <v>405</v>
      </c>
      <c r="N1326" t="s">
        <v>1377</v>
      </c>
      <c r="O1326" t="s">
        <v>1395</v>
      </c>
      <c r="P1326" s="1" t="s">
        <v>529</v>
      </c>
      <c r="Q1326" s="13" t="s">
        <v>25</v>
      </c>
      <c r="R1326">
        <v>2</v>
      </c>
      <c r="S1326">
        <v>5000</v>
      </c>
      <c r="T1326"/>
      <c r="U1326" s="9"/>
      <c r="V1326" s="9"/>
      <c r="W1326" s="9"/>
      <c r="X1326" s="9"/>
    </row>
    <row r="1327" spans="1:24">
      <c r="A1327" s="13"/>
      <c r="B1327" s="1"/>
      <c r="C1327" s="1"/>
      <c r="D1327" s="3" t="str">
        <f>SUBTOTAL(9,D1323:D1326)</f>
        <v>0</v>
      </c>
      <c r="E1327"/>
      <c r="F1327"/>
      <c r="G1327"/>
      <c r="H1327"/>
      <c r="I1327"/>
      <c r="J1327"/>
      <c r="K1327"/>
      <c r="L1327"/>
      <c r="M1327" s="18" t="s">
        <v>406</v>
      </c>
      <c r="N1327" t="s">
        <v>1548</v>
      </c>
      <c r="O1327" t="s">
        <v>1395</v>
      </c>
      <c r="P1327" s="1"/>
      <c r="Q1327" s="13"/>
      <c r="R1327"/>
      <c r="S1327"/>
      <c r="T1327"/>
      <c r="U1327" s="9"/>
      <c r="V1327" s="9"/>
      <c r="W1327" s="9"/>
      <c r="X1327" s="9"/>
    </row>
    <row r="1328" spans="1:24">
      <c r="A1328" s="13" t="s">
        <v>19</v>
      </c>
      <c r="B1328" s="1"/>
      <c r="C1328" s="1" t="s">
        <v>20</v>
      </c>
      <c r="D1328" s="3">
        <v>90000</v>
      </c>
      <c r="E1328"/>
      <c r="F1328"/>
      <c r="G1328"/>
      <c r="H1328"/>
      <c r="I1328"/>
      <c r="J1328"/>
      <c r="K1328"/>
      <c r="L1328"/>
      <c r="M1328" s="18" t="s">
        <v>407</v>
      </c>
      <c r="N1328" t="s">
        <v>1296</v>
      </c>
      <c r="O1328" t="s">
        <v>1395</v>
      </c>
      <c r="P1328" s="1" t="s">
        <v>894</v>
      </c>
      <c r="Q1328" s="13" t="s">
        <v>25</v>
      </c>
      <c r="R1328">
        <v>3</v>
      </c>
      <c r="S1328">
        <v>30000</v>
      </c>
      <c r="T1328"/>
      <c r="U1328" s="9"/>
      <c r="V1328" s="9"/>
      <c r="W1328" s="9"/>
      <c r="X1328" s="9"/>
    </row>
    <row r="1329" spans="1:24">
      <c r="A1329" s="13" t="s">
        <v>19</v>
      </c>
      <c r="B1329" s="1"/>
      <c r="C1329" s="1" t="s">
        <v>29</v>
      </c>
      <c r="D1329" s="3">
        <v>15000</v>
      </c>
      <c r="E1329"/>
      <c r="F1329"/>
      <c r="G1329"/>
      <c r="H1329"/>
      <c r="I1329"/>
      <c r="J1329"/>
      <c r="K1329"/>
      <c r="L1329"/>
      <c r="M1329" s="18" t="s">
        <v>407</v>
      </c>
      <c r="N1329" t="s">
        <v>1296</v>
      </c>
      <c r="O1329" t="s">
        <v>1395</v>
      </c>
      <c r="P1329" s="1" t="s">
        <v>895</v>
      </c>
      <c r="Q1329" s="13" t="s">
        <v>25</v>
      </c>
      <c r="R1329">
        <v>3</v>
      </c>
      <c r="S1329">
        <v>5000</v>
      </c>
      <c r="T1329"/>
      <c r="U1329" s="9"/>
      <c r="V1329" s="9"/>
      <c r="W1329" s="9"/>
      <c r="X1329" s="9"/>
    </row>
    <row r="1330" spans="1:24">
      <c r="A1330" s="13"/>
      <c r="B1330" s="1"/>
      <c r="C1330" s="1"/>
      <c r="D1330" s="3" t="str">
        <f>SUBTOTAL(9,D1328:D1329)</f>
        <v>0</v>
      </c>
      <c r="E1330"/>
      <c r="F1330"/>
      <c r="G1330"/>
      <c r="H1330"/>
      <c r="I1330"/>
      <c r="J1330"/>
      <c r="K1330"/>
      <c r="L1330"/>
      <c r="M1330" s="18" t="s">
        <v>408</v>
      </c>
      <c r="N1330" t="s">
        <v>1549</v>
      </c>
      <c r="O1330" t="s">
        <v>1395</v>
      </c>
      <c r="P1330" s="1"/>
      <c r="Q1330" s="13"/>
      <c r="R1330"/>
      <c r="S1330"/>
      <c r="T1330"/>
      <c r="U1330" s="9"/>
      <c r="V1330" s="9"/>
      <c r="W1330" s="9"/>
      <c r="X1330" s="9"/>
    </row>
    <row r="1331" spans="1:24">
      <c r="A1331" s="13" t="s">
        <v>19</v>
      </c>
      <c r="B1331" s="1"/>
      <c r="C1331" s="1" t="s">
        <v>26</v>
      </c>
      <c r="D1331" s="3">
        <v>74000</v>
      </c>
      <c r="E1331"/>
      <c r="F1331"/>
      <c r="G1331"/>
      <c r="H1331"/>
      <c r="I1331"/>
      <c r="J1331"/>
      <c r="K1331"/>
      <c r="L1331"/>
      <c r="M1331" s="18" t="s">
        <v>409</v>
      </c>
      <c r="N1331" t="s">
        <v>1299</v>
      </c>
      <c r="O1331" t="s">
        <v>1395</v>
      </c>
      <c r="P1331" s="1" t="s">
        <v>896</v>
      </c>
      <c r="Q1331" s="13" t="s">
        <v>25</v>
      </c>
      <c r="R1331">
        <v>2</v>
      </c>
      <c r="S1331">
        <v>37000</v>
      </c>
      <c r="T1331"/>
      <c r="U1331" s="9"/>
      <c r="V1331" s="9"/>
      <c r="W1331" s="9"/>
      <c r="X1331" s="9"/>
    </row>
    <row r="1332" spans="1:24">
      <c r="A1332" s="13" t="s">
        <v>19</v>
      </c>
      <c r="B1332" s="1"/>
      <c r="C1332" s="1" t="s">
        <v>32</v>
      </c>
      <c r="D1332" s="3">
        <v>10000</v>
      </c>
      <c r="E1332"/>
      <c r="F1332"/>
      <c r="G1332"/>
      <c r="H1332"/>
      <c r="I1332"/>
      <c r="J1332"/>
      <c r="K1332"/>
      <c r="L1332"/>
      <c r="M1332" s="18" t="s">
        <v>409</v>
      </c>
      <c r="N1332" t="s">
        <v>1299</v>
      </c>
      <c r="O1332" t="s">
        <v>1395</v>
      </c>
      <c r="P1332" s="1" t="s">
        <v>897</v>
      </c>
      <c r="Q1332" s="13" t="s">
        <v>25</v>
      </c>
      <c r="R1332">
        <v>2</v>
      </c>
      <c r="S1332">
        <v>5000</v>
      </c>
      <c r="T1332"/>
      <c r="U1332" s="9"/>
      <c r="V1332" s="9"/>
      <c r="W1332" s="9"/>
      <c r="X1332" s="9"/>
    </row>
    <row r="1333" spans="1:24">
      <c r="A1333" s="13"/>
      <c r="B1333" s="1"/>
      <c r="C1333" s="1"/>
      <c r="D1333" s="3" t="str">
        <f>SUBTOTAL(9,D1331:D1332)</f>
        <v>0</v>
      </c>
      <c r="E1333"/>
      <c r="F1333"/>
      <c r="G1333"/>
      <c r="H1333"/>
      <c r="I1333"/>
      <c r="J1333"/>
      <c r="K1333"/>
      <c r="L1333"/>
      <c r="M1333" s="18" t="s">
        <v>410</v>
      </c>
      <c r="N1333" t="s">
        <v>1550</v>
      </c>
      <c r="O1333" t="s">
        <v>1395</v>
      </c>
      <c r="P1333" s="1"/>
      <c r="Q1333" s="13"/>
      <c r="R1333"/>
      <c r="S1333"/>
      <c r="T1333"/>
      <c r="U1333" s="9"/>
      <c r="V1333" s="9"/>
      <c r="W1333" s="9"/>
      <c r="X1333" s="9"/>
    </row>
    <row r="1334" spans="1:24">
      <c r="A1334" s="13" t="s">
        <v>19</v>
      </c>
      <c r="B1334" s="1"/>
      <c r="C1334" s="1" t="s">
        <v>26</v>
      </c>
      <c r="D1334" s="3">
        <v>37000</v>
      </c>
      <c r="E1334"/>
      <c r="F1334"/>
      <c r="G1334"/>
      <c r="H1334"/>
      <c r="I1334"/>
      <c r="J1334"/>
      <c r="K1334"/>
      <c r="L1334"/>
      <c r="M1334" s="18" t="s">
        <v>411</v>
      </c>
      <c r="N1334" t="s">
        <v>1356</v>
      </c>
      <c r="O1334" t="s">
        <v>1395</v>
      </c>
      <c r="P1334" s="1" t="s">
        <v>898</v>
      </c>
      <c r="Q1334" s="13" t="s">
        <v>25</v>
      </c>
      <c r="R1334">
        <v>1</v>
      </c>
      <c r="S1334">
        <v>37000</v>
      </c>
      <c r="T1334"/>
      <c r="U1334" s="9"/>
      <c r="V1334" s="9"/>
      <c r="W1334" s="9"/>
      <c r="X1334" s="9"/>
    </row>
    <row r="1335" spans="1:24">
      <c r="A1335" s="13" t="s">
        <v>19</v>
      </c>
      <c r="B1335" s="1"/>
      <c r="C1335" s="1" t="s">
        <v>26</v>
      </c>
      <c r="D1335" s="3">
        <v>37000</v>
      </c>
      <c r="E1335"/>
      <c r="F1335"/>
      <c r="G1335"/>
      <c r="H1335"/>
      <c r="I1335"/>
      <c r="J1335"/>
      <c r="K1335"/>
      <c r="L1335"/>
      <c r="M1335" s="18" t="s">
        <v>411</v>
      </c>
      <c r="N1335" t="s">
        <v>1356</v>
      </c>
      <c r="O1335" t="s">
        <v>1395</v>
      </c>
      <c r="P1335" s="1" t="s">
        <v>692</v>
      </c>
      <c r="Q1335" s="13" t="s">
        <v>25</v>
      </c>
      <c r="R1335">
        <v>1</v>
      </c>
      <c r="S1335">
        <v>37000</v>
      </c>
      <c r="T1335"/>
      <c r="U1335" s="9"/>
      <c r="V1335" s="9"/>
      <c r="W1335" s="9"/>
      <c r="X1335" s="9"/>
    </row>
    <row r="1336" spans="1:24">
      <c r="A1336" s="13" t="s">
        <v>19</v>
      </c>
      <c r="B1336" s="1"/>
      <c r="C1336" s="1" t="s">
        <v>32</v>
      </c>
      <c r="D1336" s="3">
        <v>5000</v>
      </c>
      <c r="E1336"/>
      <c r="F1336"/>
      <c r="G1336"/>
      <c r="H1336"/>
      <c r="I1336"/>
      <c r="J1336"/>
      <c r="K1336"/>
      <c r="L1336"/>
      <c r="M1336" s="18" t="s">
        <v>411</v>
      </c>
      <c r="N1336" t="s">
        <v>1356</v>
      </c>
      <c r="O1336" t="s">
        <v>1395</v>
      </c>
      <c r="P1336" s="1" t="s">
        <v>899</v>
      </c>
      <c r="Q1336" s="13" t="s">
        <v>25</v>
      </c>
      <c r="R1336">
        <v>1</v>
      </c>
      <c r="S1336">
        <v>5000</v>
      </c>
      <c r="T1336"/>
      <c r="U1336" s="9"/>
      <c r="V1336" s="9"/>
      <c r="W1336" s="9"/>
      <c r="X1336" s="9"/>
    </row>
    <row r="1337" spans="1:24">
      <c r="A1337" s="13" t="s">
        <v>19</v>
      </c>
      <c r="B1337" s="1"/>
      <c r="C1337" s="1" t="s">
        <v>32</v>
      </c>
      <c r="D1337" s="3">
        <v>5000</v>
      </c>
      <c r="E1337"/>
      <c r="F1337"/>
      <c r="G1337"/>
      <c r="H1337"/>
      <c r="I1337"/>
      <c r="J1337"/>
      <c r="K1337"/>
      <c r="L1337"/>
      <c r="M1337" s="18" t="s">
        <v>411</v>
      </c>
      <c r="N1337" t="s">
        <v>1356</v>
      </c>
      <c r="O1337" t="s">
        <v>1395</v>
      </c>
      <c r="P1337" s="1" t="s">
        <v>694</v>
      </c>
      <c r="Q1337" s="13" t="s">
        <v>25</v>
      </c>
      <c r="R1337">
        <v>1</v>
      </c>
      <c r="S1337">
        <v>5000</v>
      </c>
      <c r="T1337"/>
      <c r="U1337" s="9"/>
      <c r="V1337" s="9"/>
      <c r="W1337" s="9"/>
      <c r="X1337" s="9"/>
    </row>
    <row r="1338" spans="1:24">
      <c r="A1338" s="13"/>
      <c r="B1338" s="1"/>
      <c r="C1338" s="1"/>
      <c r="D1338" s="3" t="str">
        <f>SUBTOTAL(9,D1334:D1337)</f>
        <v>0</v>
      </c>
      <c r="E1338"/>
      <c r="F1338"/>
      <c r="G1338"/>
      <c r="H1338"/>
      <c r="I1338"/>
      <c r="J1338"/>
      <c r="K1338"/>
      <c r="L1338"/>
      <c r="M1338" s="18" t="s">
        <v>412</v>
      </c>
      <c r="N1338" t="s">
        <v>1551</v>
      </c>
      <c r="O1338" t="s">
        <v>1395</v>
      </c>
      <c r="P1338" s="1"/>
      <c r="Q1338" s="13"/>
      <c r="R1338"/>
      <c r="S1338"/>
      <c r="T1338"/>
      <c r="U1338" s="9"/>
      <c r="V1338" s="9"/>
      <c r="W1338" s="9"/>
      <c r="X1338" s="9"/>
    </row>
    <row r="1339" spans="1:24">
      <c r="A1339" s="13" t="s">
        <v>19</v>
      </c>
      <c r="B1339" s="1"/>
      <c r="C1339" s="1" t="s">
        <v>20</v>
      </c>
      <c r="D1339" s="3">
        <v>50000</v>
      </c>
      <c r="E1339"/>
      <c r="F1339"/>
      <c r="G1339"/>
      <c r="H1339"/>
      <c r="I1339"/>
      <c r="J1339"/>
      <c r="K1339"/>
      <c r="L1339"/>
      <c r="M1339" s="18" t="s">
        <v>413</v>
      </c>
      <c r="N1339" t="s">
        <v>1171</v>
      </c>
      <c r="O1339" t="s">
        <v>94</v>
      </c>
      <c r="P1339" s="1" t="s">
        <v>24</v>
      </c>
      <c r="Q1339" s="13" t="s">
        <v>25</v>
      </c>
      <c r="R1339">
        <v>2</v>
      </c>
      <c r="S1339">
        <v>25000</v>
      </c>
      <c r="T1339"/>
      <c r="U1339" s="9"/>
      <c r="V1339" s="9"/>
      <c r="W1339" s="9"/>
      <c r="X1339" s="9"/>
    </row>
    <row r="1340" spans="1:24">
      <c r="A1340" s="13" t="s">
        <v>19</v>
      </c>
      <c r="B1340" s="1"/>
      <c r="C1340" s="1" t="s">
        <v>26</v>
      </c>
      <c r="D1340" s="3">
        <v>37000</v>
      </c>
      <c r="E1340"/>
      <c r="F1340"/>
      <c r="G1340"/>
      <c r="H1340"/>
      <c r="I1340"/>
      <c r="J1340"/>
      <c r="K1340"/>
      <c r="L1340"/>
      <c r="M1340" s="18" t="s">
        <v>413</v>
      </c>
      <c r="N1340" t="s">
        <v>1171</v>
      </c>
      <c r="O1340" t="s">
        <v>94</v>
      </c>
      <c r="P1340" s="1" t="s">
        <v>900</v>
      </c>
      <c r="Q1340" s="13" t="s">
        <v>25</v>
      </c>
      <c r="R1340">
        <v>1</v>
      </c>
      <c r="S1340">
        <v>37000</v>
      </c>
      <c r="T1340"/>
      <c r="U1340" s="9"/>
      <c r="V1340" s="9"/>
      <c r="W1340" s="9"/>
      <c r="X1340" s="9"/>
    </row>
    <row r="1341" spans="1:24">
      <c r="A1341" s="13" t="s">
        <v>19</v>
      </c>
      <c r="B1341" s="1"/>
      <c r="C1341" s="1" t="s">
        <v>29</v>
      </c>
      <c r="D1341" s="3">
        <v>10000</v>
      </c>
      <c r="E1341"/>
      <c r="F1341"/>
      <c r="G1341"/>
      <c r="H1341"/>
      <c r="I1341"/>
      <c r="J1341"/>
      <c r="K1341"/>
      <c r="L1341"/>
      <c r="M1341" s="18" t="s">
        <v>413</v>
      </c>
      <c r="N1341" t="s">
        <v>1171</v>
      </c>
      <c r="O1341" t="s">
        <v>94</v>
      </c>
      <c r="P1341" s="1" t="s">
        <v>30</v>
      </c>
      <c r="Q1341" s="13" t="s">
        <v>25</v>
      </c>
      <c r="R1341">
        <v>2</v>
      </c>
      <c r="S1341">
        <v>5000</v>
      </c>
      <c r="T1341"/>
      <c r="U1341" s="9"/>
      <c r="V1341" s="9"/>
      <c r="W1341" s="9"/>
      <c r="X1341" s="9"/>
    </row>
    <row r="1342" spans="1:24">
      <c r="A1342" s="13" t="s">
        <v>19</v>
      </c>
      <c r="B1342" s="1"/>
      <c r="C1342" s="1" t="s">
        <v>32</v>
      </c>
      <c r="D1342" s="3">
        <v>5000</v>
      </c>
      <c r="E1342"/>
      <c r="F1342"/>
      <c r="G1342"/>
      <c r="H1342"/>
      <c r="I1342"/>
      <c r="J1342"/>
      <c r="K1342"/>
      <c r="L1342"/>
      <c r="M1342" s="18" t="s">
        <v>413</v>
      </c>
      <c r="N1342" t="s">
        <v>1171</v>
      </c>
      <c r="O1342" t="s">
        <v>94</v>
      </c>
      <c r="P1342" s="1" t="s">
        <v>901</v>
      </c>
      <c r="Q1342" s="13" t="s">
        <v>25</v>
      </c>
      <c r="R1342">
        <v>1</v>
      </c>
      <c r="S1342">
        <v>5000</v>
      </c>
      <c r="T1342"/>
      <c r="U1342" s="9"/>
      <c r="V1342" s="9"/>
      <c r="W1342" s="9"/>
      <c r="X1342" s="9"/>
    </row>
    <row r="1343" spans="1:24">
      <c r="A1343" s="13"/>
      <c r="B1343" s="1"/>
      <c r="C1343" s="1"/>
      <c r="D1343" s="3" t="str">
        <f>SUBTOTAL(9,D1339:D1342)</f>
        <v>0</v>
      </c>
      <c r="E1343"/>
      <c r="F1343"/>
      <c r="G1343"/>
      <c r="H1343"/>
      <c r="I1343"/>
      <c r="J1343"/>
      <c r="K1343"/>
      <c r="L1343"/>
      <c r="M1343" s="18" t="s">
        <v>414</v>
      </c>
      <c r="N1343" t="s">
        <v>1552</v>
      </c>
      <c r="O1343" t="s">
        <v>94</v>
      </c>
      <c r="P1343" s="1"/>
      <c r="Q1343" s="13"/>
      <c r="R1343"/>
      <c r="S1343"/>
      <c r="T1343"/>
      <c r="U1343" s="9"/>
      <c r="V1343" s="9"/>
      <c r="W1343" s="9"/>
      <c r="X1343" s="9"/>
    </row>
    <row r="1344" spans="1:24">
      <c r="A1344" s="13" t="s">
        <v>19</v>
      </c>
      <c r="B1344" s="1"/>
      <c r="C1344" s="1" t="s">
        <v>20</v>
      </c>
      <c r="D1344" s="3">
        <v>70000</v>
      </c>
      <c r="E1344"/>
      <c r="F1344"/>
      <c r="G1344"/>
      <c r="H1344"/>
      <c r="I1344"/>
      <c r="J1344"/>
      <c r="K1344"/>
      <c r="L1344"/>
      <c r="M1344" s="18" t="s">
        <v>415</v>
      </c>
      <c r="N1344" t="s">
        <v>1142</v>
      </c>
      <c r="O1344" t="s">
        <v>1395</v>
      </c>
      <c r="P1344" s="1" t="s">
        <v>902</v>
      </c>
      <c r="Q1344" s="13" t="s">
        <v>25</v>
      </c>
      <c r="R1344">
        <v>2</v>
      </c>
      <c r="S1344">
        <v>35000</v>
      </c>
      <c r="T1344"/>
      <c r="U1344" s="9"/>
      <c r="V1344" s="9"/>
      <c r="W1344" s="9"/>
      <c r="X1344" s="9"/>
    </row>
    <row r="1345" spans="1:24">
      <c r="A1345" s="13" t="s">
        <v>19</v>
      </c>
      <c r="B1345" s="1"/>
      <c r="C1345" s="1" t="s">
        <v>20</v>
      </c>
      <c r="D1345" s="3">
        <v>70000</v>
      </c>
      <c r="E1345"/>
      <c r="F1345"/>
      <c r="G1345"/>
      <c r="H1345"/>
      <c r="I1345"/>
      <c r="J1345"/>
      <c r="K1345"/>
      <c r="L1345"/>
      <c r="M1345" s="18" t="s">
        <v>415</v>
      </c>
      <c r="N1345" t="s">
        <v>1142</v>
      </c>
      <c r="O1345" t="s">
        <v>1395</v>
      </c>
      <c r="P1345" s="1" t="s">
        <v>527</v>
      </c>
      <c r="Q1345" s="13" t="s">
        <v>25</v>
      </c>
      <c r="R1345">
        <v>2</v>
      </c>
      <c r="S1345">
        <v>35000</v>
      </c>
      <c r="T1345"/>
      <c r="U1345" s="9"/>
      <c r="V1345" s="9"/>
      <c r="W1345" s="9"/>
      <c r="X1345" s="9"/>
    </row>
    <row r="1346" spans="1:24">
      <c r="A1346" s="13" t="s">
        <v>19</v>
      </c>
      <c r="B1346" s="1"/>
      <c r="C1346" s="1" t="s">
        <v>29</v>
      </c>
      <c r="D1346" s="3">
        <v>10000</v>
      </c>
      <c r="E1346"/>
      <c r="F1346"/>
      <c r="G1346"/>
      <c r="H1346"/>
      <c r="I1346"/>
      <c r="J1346"/>
      <c r="K1346"/>
      <c r="L1346"/>
      <c r="M1346" s="18" t="s">
        <v>415</v>
      </c>
      <c r="N1346" t="s">
        <v>1142</v>
      </c>
      <c r="O1346" t="s">
        <v>1395</v>
      </c>
      <c r="P1346" s="1" t="s">
        <v>903</v>
      </c>
      <c r="Q1346" s="13" t="s">
        <v>25</v>
      </c>
      <c r="R1346">
        <v>2</v>
      </c>
      <c r="S1346">
        <v>5000</v>
      </c>
      <c r="T1346"/>
      <c r="U1346" s="9"/>
      <c r="V1346" s="9"/>
      <c r="W1346" s="9"/>
      <c r="X1346" s="9"/>
    </row>
    <row r="1347" spans="1:24">
      <c r="A1347" s="13" t="s">
        <v>19</v>
      </c>
      <c r="B1347" s="1"/>
      <c r="C1347" s="1" t="s">
        <v>29</v>
      </c>
      <c r="D1347" s="3">
        <v>10000</v>
      </c>
      <c r="E1347"/>
      <c r="F1347"/>
      <c r="G1347"/>
      <c r="H1347"/>
      <c r="I1347"/>
      <c r="J1347"/>
      <c r="K1347"/>
      <c r="L1347"/>
      <c r="M1347" s="18" t="s">
        <v>415</v>
      </c>
      <c r="N1347" t="s">
        <v>1142</v>
      </c>
      <c r="O1347" t="s">
        <v>1395</v>
      </c>
      <c r="P1347" s="1" t="s">
        <v>529</v>
      </c>
      <c r="Q1347" s="13" t="s">
        <v>25</v>
      </c>
      <c r="R1347">
        <v>2</v>
      </c>
      <c r="S1347">
        <v>5000</v>
      </c>
      <c r="T1347"/>
      <c r="U1347" s="9"/>
      <c r="V1347" s="9"/>
      <c r="W1347" s="9"/>
      <c r="X1347" s="9"/>
    </row>
    <row r="1348" spans="1:24">
      <c r="A1348" s="13"/>
      <c r="B1348" s="1"/>
      <c r="C1348" s="1"/>
      <c r="D1348" s="3" t="str">
        <f>SUBTOTAL(9,D1344:D1347)</f>
        <v>0</v>
      </c>
      <c r="E1348"/>
      <c r="F1348"/>
      <c r="G1348"/>
      <c r="H1348"/>
      <c r="I1348"/>
      <c r="J1348"/>
      <c r="K1348"/>
      <c r="L1348"/>
      <c r="M1348" s="18" t="s">
        <v>416</v>
      </c>
      <c r="N1348" t="s">
        <v>1553</v>
      </c>
      <c r="O1348" t="s">
        <v>1395</v>
      </c>
      <c r="P1348" s="1"/>
      <c r="Q1348" s="13"/>
      <c r="R1348"/>
      <c r="S1348"/>
      <c r="T1348"/>
      <c r="U1348" s="9"/>
      <c r="V1348" s="9"/>
      <c r="W1348" s="9"/>
      <c r="X1348" s="9"/>
    </row>
    <row r="1349" spans="1:24">
      <c r="A1349" s="13" t="s">
        <v>19</v>
      </c>
      <c r="B1349" s="1"/>
      <c r="C1349" s="1" t="s">
        <v>20</v>
      </c>
      <c r="D1349" s="3">
        <v>108000</v>
      </c>
      <c r="E1349"/>
      <c r="F1349"/>
      <c r="G1349"/>
      <c r="H1349"/>
      <c r="I1349"/>
      <c r="J1349"/>
      <c r="K1349"/>
      <c r="L1349"/>
      <c r="M1349" s="18" t="s">
        <v>417</v>
      </c>
      <c r="N1349" t="s">
        <v>1130</v>
      </c>
      <c r="O1349" t="s">
        <v>1395</v>
      </c>
      <c r="P1349" s="1" t="s">
        <v>560</v>
      </c>
      <c r="Q1349" s="13" t="s">
        <v>25</v>
      </c>
      <c r="R1349">
        <v>4</v>
      </c>
      <c r="S1349">
        <v>27000</v>
      </c>
      <c r="T1349"/>
      <c r="U1349" s="9"/>
      <c r="V1349" s="9"/>
      <c r="W1349" s="9"/>
      <c r="X1349" s="9"/>
    </row>
    <row r="1350" spans="1:24">
      <c r="A1350" s="13" t="s">
        <v>19</v>
      </c>
      <c r="B1350" s="1"/>
      <c r="C1350" s="1" t="s">
        <v>20</v>
      </c>
      <c r="D1350" s="3">
        <v>54000</v>
      </c>
      <c r="E1350"/>
      <c r="F1350"/>
      <c r="G1350"/>
      <c r="H1350"/>
      <c r="I1350"/>
      <c r="J1350"/>
      <c r="K1350"/>
      <c r="L1350"/>
      <c r="M1350" s="18" t="s">
        <v>417</v>
      </c>
      <c r="N1350" t="s">
        <v>1130</v>
      </c>
      <c r="O1350" t="s">
        <v>1395</v>
      </c>
      <c r="P1350" s="1" t="s">
        <v>527</v>
      </c>
      <c r="Q1350" s="13" t="s">
        <v>25</v>
      </c>
      <c r="R1350">
        <v>2</v>
      </c>
      <c r="S1350">
        <v>27000</v>
      </c>
      <c r="T1350"/>
      <c r="U1350" s="9"/>
      <c r="V1350" s="9"/>
      <c r="W1350" s="9"/>
      <c r="X1350" s="9"/>
    </row>
    <row r="1351" spans="1:24">
      <c r="A1351" s="13" t="s">
        <v>19</v>
      </c>
      <c r="B1351" s="1"/>
      <c r="C1351" s="1" t="s">
        <v>20</v>
      </c>
      <c r="D1351" s="3">
        <v>108000</v>
      </c>
      <c r="E1351"/>
      <c r="F1351"/>
      <c r="G1351"/>
      <c r="H1351"/>
      <c r="I1351"/>
      <c r="J1351"/>
      <c r="K1351"/>
      <c r="L1351"/>
      <c r="M1351" s="18" t="s">
        <v>417</v>
      </c>
      <c r="N1351" t="s">
        <v>1130</v>
      </c>
      <c r="O1351" t="s">
        <v>1395</v>
      </c>
      <c r="P1351" s="1" t="s">
        <v>818</v>
      </c>
      <c r="Q1351" s="13" t="s">
        <v>25</v>
      </c>
      <c r="R1351">
        <v>4</v>
      </c>
      <c r="S1351">
        <v>27000</v>
      </c>
      <c r="T1351"/>
      <c r="U1351" s="9"/>
      <c r="V1351" s="9"/>
      <c r="W1351" s="9"/>
      <c r="X1351" s="9"/>
    </row>
    <row r="1352" spans="1:24">
      <c r="A1352" s="13" t="s">
        <v>19</v>
      </c>
      <c r="B1352" s="1"/>
      <c r="C1352" s="1" t="s">
        <v>20</v>
      </c>
      <c r="D1352" s="3">
        <v>81000</v>
      </c>
      <c r="E1352"/>
      <c r="F1352"/>
      <c r="G1352"/>
      <c r="H1352"/>
      <c r="I1352"/>
      <c r="J1352"/>
      <c r="K1352"/>
      <c r="L1352"/>
      <c r="M1352" s="18" t="s">
        <v>417</v>
      </c>
      <c r="N1352" t="s">
        <v>1130</v>
      </c>
      <c r="O1352" t="s">
        <v>1395</v>
      </c>
      <c r="P1352" s="1" t="s">
        <v>882</v>
      </c>
      <c r="Q1352" s="13" t="s">
        <v>25</v>
      </c>
      <c r="R1352">
        <v>3</v>
      </c>
      <c r="S1352">
        <v>27000</v>
      </c>
      <c r="T1352"/>
      <c r="U1352" s="9"/>
      <c r="V1352" s="9"/>
      <c r="W1352" s="9"/>
      <c r="X1352" s="9"/>
    </row>
    <row r="1353" spans="1:24">
      <c r="A1353" s="13" t="s">
        <v>19</v>
      </c>
      <c r="B1353" s="1"/>
      <c r="C1353" s="1" t="s">
        <v>20</v>
      </c>
      <c r="D1353" s="3">
        <v>81000</v>
      </c>
      <c r="E1353"/>
      <c r="F1353"/>
      <c r="G1353"/>
      <c r="H1353"/>
      <c r="I1353"/>
      <c r="J1353"/>
      <c r="K1353"/>
      <c r="L1353"/>
      <c r="M1353" s="18" t="s">
        <v>417</v>
      </c>
      <c r="N1353" t="s">
        <v>1130</v>
      </c>
      <c r="O1353" t="s">
        <v>1395</v>
      </c>
      <c r="P1353" s="1" t="s">
        <v>904</v>
      </c>
      <c r="Q1353" s="13" t="s">
        <v>25</v>
      </c>
      <c r="R1353">
        <v>3</v>
      </c>
      <c r="S1353">
        <v>27000</v>
      </c>
      <c r="T1353"/>
      <c r="U1353" s="9"/>
      <c r="V1353" s="9"/>
      <c r="W1353" s="9"/>
      <c r="X1353" s="9"/>
    </row>
    <row r="1354" spans="1:24">
      <c r="A1354" s="13" t="s">
        <v>19</v>
      </c>
      <c r="B1354" s="1"/>
      <c r="C1354" s="1" t="s">
        <v>20</v>
      </c>
      <c r="D1354" s="3">
        <v>54000</v>
      </c>
      <c r="E1354"/>
      <c r="F1354"/>
      <c r="G1354"/>
      <c r="H1354"/>
      <c r="I1354"/>
      <c r="J1354"/>
      <c r="K1354"/>
      <c r="L1354"/>
      <c r="M1354" s="18" t="s">
        <v>417</v>
      </c>
      <c r="N1354" t="s">
        <v>1130</v>
      </c>
      <c r="O1354" t="s">
        <v>1395</v>
      </c>
      <c r="P1354" s="1" t="s">
        <v>905</v>
      </c>
      <c r="Q1354" s="13" t="s">
        <v>25</v>
      </c>
      <c r="R1354">
        <v>2</v>
      </c>
      <c r="S1354">
        <v>27000</v>
      </c>
      <c r="T1354"/>
      <c r="U1354" s="9"/>
      <c r="V1354" s="9"/>
      <c r="W1354" s="9"/>
      <c r="X1354" s="9"/>
    </row>
    <row r="1355" spans="1:24">
      <c r="A1355" s="13" t="s">
        <v>19</v>
      </c>
      <c r="B1355" s="1"/>
      <c r="C1355" s="1" t="s">
        <v>20</v>
      </c>
      <c r="D1355" s="3">
        <v>54000</v>
      </c>
      <c r="E1355"/>
      <c r="F1355"/>
      <c r="G1355"/>
      <c r="H1355"/>
      <c r="I1355"/>
      <c r="J1355"/>
      <c r="K1355"/>
      <c r="L1355"/>
      <c r="M1355" s="18" t="s">
        <v>417</v>
      </c>
      <c r="N1355" t="s">
        <v>1130</v>
      </c>
      <c r="O1355" t="s">
        <v>1395</v>
      </c>
      <c r="P1355" s="1" t="s">
        <v>906</v>
      </c>
      <c r="Q1355" s="13" t="s">
        <v>25</v>
      </c>
      <c r="R1355">
        <v>2</v>
      </c>
      <c r="S1355">
        <v>27000</v>
      </c>
      <c r="T1355"/>
      <c r="U1355" s="9"/>
      <c r="V1355" s="9"/>
      <c r="W1355" s="9"/>
      <c r="X1355" s="9"/>
    </row>
    <row r="1356" spans="1:24">
      <c r="A1356" s="13" t="s">
        <v>19</v>
      </c>
      <c r="B1356" s="1"/>
      <c r="C1356" s="1" t="s">
        <v>20</v>
      </c>
      <c r="D1356" s="3">
        <v>54000</v>
      </c>
      <c r="E1356"/>
      <c r="F1356"/>
      <c r="G1356"/>
      <c r="H1356"/>
      <c r="I1356"/>
      <c r="J1356"/>
      <c r="K1356"/>
      <c r="L1356"/>
      <c r="M1356" s="18" t="s">
        <v>417</v>
      </c>
      <c r="N1356" t="s">
        <v>1130</v>
      </c>
      <c r="O1356" t="s">
        <v>1395</v>
      </c>
      <c r="P1356" s="1" t="s">
        <v>907</v>
      </c>
      <c r="Q1356" s="13" t="s">
        <v>25</v>
      </c>
      <c r="R1356">
        <v>2</v>
      </c>
      <c r="S1356">
        <v>27000</v>
      </c>
      <c r="T1356"/>
      <c r="U1356" s="9"/>
      <c r="V1356" s="9"/>
      <c r="W1356" s="9"/>
      <c r="X1356" s="9"/>
    </row>
    <row r="1357" spans="1:24">
      <c r="A1357" s="13" t="s">
        <v>19</v>
      </c>
      <c r="B1357" s="1"/>
      <c r="C1357" s="1" t="s">
        <v>20</v>
      </c>
      <c r="D1357" s="3">
        <v>27000</v>
      </c>
      <c r="E1357"/>
      <c r="F1357"/>
      <c r="G1357"/>
      <c r="H1357"/>
      <c r="I1357"/>
      <c r="J1357"/>
      <c r="K1357"/>
      <c r="L1357"/>
      <c r="M1357" s="18" t="s">
        <v>417</v>
      </c>
      <c r="N1357" t="s">
        <v>1130</v>
      </c>
      <c r="O1357" t="s">
        <v>1395</v>
      </c>
      <c r="P1357" s="1" t="s">
        <v>908</v>
      </c>
      <c r="Q1357" s="13" t="s">
        <v>25</v>
      </c>
      <c r="R1357">
        <v>1</v>
      </c>
      <c r="S1357">
        <v>27000</v>
      </c>
      <c r="T1357"/>
      <c r="U1357" s="9"/>
      <c r="V1357" s="9"/>
      <c r="W1357" s="9"/>
      <c r="X1357" s="9"/>
    </row>
    <row r="1358" spans="1:24">
      <c r="A1358" s="13" t="s">
        <v>19</v>
      </c>
      <c r="B1358" s="1"/>
      <c r="C1358" s="1" t="s">
        <v>20</v>
      </c>
      <c r="D1358" s="3">
        <v>27000</v>
      </c>
      <c r="E1358"/>
      <c r="F1358"/>
      <c r="G1358"/>
      <c r="H1358"/>
      <c r="I1358"/>
      <c r="J1358"/>
      <c r="K1358"/>
      <c r="L1358"/>
      <c r="M1358" s="18" t="s">
        <v>417</v>
      </c>
      <c r="N1358" t="s">
        <v>1130</v>
      </c>
      <c r="O1358" t="s">
        <v>1395</v>
      </c>
      <c r="P1358" s="1" t="s">
        <v>909</v>
      </c>
      <c r="Q1358" s="13" t="s">
        <v>25</v>
      </c>
      <c r="R1358">
        <v>1</v>
      </c>
      <c r="S1358">
        <v>27000</v>
      </c>
      <c r="T1358"/>
      <c r="U1358" s="9"/>
      <c r="V1358" s="9"/>
      <c r="W1358" s="9"/>
      <c r="X1358" s="9"/>
    </row>
    <row r="1359" spans="1:24">
      <c r="A1359" s="13" t="s">
        <v>19</v>
      </c>
      <c r="B1359" s="1"/>
      <c r="C1359" s="1" t="s">
        <v>20</v>
      </c>
      <c r="D1359" s="3">
        <v>108000</v>
      </c>
      <c r="E1359"/>
      <c r="F1359"/>
      <c r="G1359"/>
      <c r="H1359"/>
      <c r="I1359"/>
      <c r="J1359"/>
      <c r="K1359"/>
      <c r="L1359"/>
      <c r="M1359" s="18" t="s">
        <v>417</v>
      </c>
      <c r="N1359" t="s">
        <v>1130</v>
      </c>
      <c r="O1359" t="s">
        <v>1395</v>
      </c>
      <c r="P1359" s="1" t="s">
        <v>910</v>
      </c>
      <c r="Q1359" s="13" t="s">
        <v>25</v>
      </c>
      <c r="R1359">
        <v>4</v>
      </c>
      <c r="S1359">
        <v>27000</v>
      </c>
      <c r="T1359"/>
      <c r="U1359" s="9"/>
      <c r="V1359" s="9"/>
      <c r="W1359" s="9"/>
      <c r="X1359" s="9"/>
    </row>
    <row r="1360" spans="1:24">
      <c r="A1360" s="13" t="s">
        <v>19</v>
      </c>
      <c r="B1360" s="1"/>
      <c r="C1360" s="1" t="s">
        <v>26</v>
      </c>
      <c r="D1360" s="3">
        <v>20000</v>
      </c>
      <c r="E1360"/>
      <c r="F1360"/>
      <c r="G1360"/>
      <c r="H1360"/>
      <c r="I1360"/>
      <c r="J1360"/>
      <c r="K1360"/>
      <c r="L1360"/>
      <c r="M1360" s="18" t="s">
        <v>417</v>
      </c>
      <c r="N1360" t="s">
        <v>1130</v>
      </c>
      <c r="O1360" t="s">
        <v>1395</v>
      </c>
      <c r="P1360" s="1" t="s">
        <v>911</v>
      </c>
      <c r="Q1360" s="13" t="s">
        <v>25</v>
      </c>
      <c r="R1360">
        <v>2</v>
      </c>
      <c r="S1360">
        <v>10000</v>
      </c>
      <c r="T1360"/>
      <c r="U1360" s="9"/>
      <c r="V1360" s="9"/>
      <c r="W1360" s="9"/>
      <c r="X1360" s="9"/>
    </row>
    <row r="1361" spans="1:24">
      <c r="A1361" s="13" t="s">
        <v>19</v>
      </c>
      <c r="B1361" s="1"/>
      <c r="C1361" s="1" t="s">
        <v>29</v>
      </c>
      <c r="D1361" s="3">
        <v>20000</v>
      </c>
      <c r="E1361"/>
      <c r="F1361"/>
      <c r="G1361"/>
      <c r="H1361"/>
      <c r="I1361"/>
      <c r="J1361"/>
      <c r="K1361"/>
      <c r="L1361"/>
      <c r="M1361" s="18" t="s">
        <v>417</v>
      </c>
      <c r="N1361" t="s">
        <v>1130</v>
      </c>
      <c r="O1361" t="s">
        <v>1395</v>
      </c>
      <c r="P1361" s="1" t="s">
        <v>562</v>
      </c>
      <c r="Q1361" s="13" t="s">
        <v>25</v>
      </c>
      <c r="R1361">
        <v>4</v>
      </c>
      <c r="S1361">
        <v>5000</v>
      </c>
      <c r="T1361"/>
      <c r="U1361" s="9"/>
      <c r="V1361" s="9"/>
      <c r="W1361" s="9"/>
      <c r="X1361" s="9"/>
    </row>
    <row r="1362" spans="1:24">
      <c r="A1362" s="13" t="s">
        <v>19</v>
      </c>
      <c r="B1362" s="1"/>
      <c r="C1362" s="1" t="s">
        <v>29</v>
      </c>
      <c r="D1362" s="3">
        <v>10000</v>
      </c>
      <c r="E1362"/>
      <c r="F1362"/>
      <c r="G1362"/>
      <c r="H1362"/>
      <c r="I1362"/>
      <c r="J1362"/>
      <c r="K1362"/>
      <c r="L1362"/>
      <c r="M1362" s="18" t="s">
        <v>417</v>
      </c>
      <c r="N1362" t="s">
        <v>1130</v>
      </c>
      <c r="O1362" t="s">
        <v>1395</v>
      </c>
      <c r="P1362" s="1" t="s">
        <v>529</v>
      </c>
      <c r="Q1362" s="13" t="s">
        <v>25</v>
      </c>
      <c r="R1362">
        <v>2</v>
      </c>
      <c r="S1362">
        <v>5000</v>
      </c>
      <c r="T1362"/>
      <c r="U1362" s="9"/>
      <c r="V1362" s="9"/>
      <c r="W1362" s="9"/>
      <c r="X1362" s="9"/>
    </row>
    <row r="1363" spans="1:24">
      <c r="A1363" s="13" t="s">
        <v>19</v>
      </c>
      <c r="B1363" s="1"/>
      <c r="C1363" s="1" t="s">
        <v>29</v>
      </c>
      <c r="D1363" s="3">
        <v>20000</v>
      </c>
      <c r="E1363"/>
      <c r="F1363"/>
      <c r="G1363"/>
      <c r="H1363"/>
      <c r="I1363"/>
      <c r="J1363"/>
      <c r="K1363"/>
      <c r="L1363"/>
      <c r="M1363" s="18" t="s">
        <v>417</v>
      </c>
      <c r="N1363" t="s">
        <v>1130</v>
      </c>
      <c r="O1363" t="s">
        <v>1395</v>
      </c>
      <c r="P1363" s="1" t="s">
        <v>822</v>
      </c>
      <c r="Q1363" s="13" t="s">
        <v>25</v>
      </c>
      <c r="R1363">
        <v>4</v>
      </c>
      <c r="S1363">
        <v>5000</v>
      </c>
      <c r="T1363"/>
      <c r="U1363" s="9"/>
      <c r="V1363" s="9"/>
      <c r="W1363" s="9"/>
      <c r="X1363" s="9"/>
    </row>
    <row r="1364" spans="1:24">
      <c r="A1364" s="13" t="s">
        <v>19</v>
      </c>
      <c r="B1364" s="1"/>
      <c r="C1364" s="1" t="s">
        <v>29</v>
      </c>
      <c r="D1364" s="3">
        <v>15000</v>
      </c>
      <c r="E1364"/>
      <c r="F1364"/>
      <c r="G1364"/>
      <c r="H1364"/>
      <c r="I1364"/>
      <c r="J1364"/>
      <c r="K1364"/>
      <c r="L1364"/>
      <c r="M1364" s="18" t="s">
        <v>417</v>
      </c>
      <c r="N1364" t="s">
        <v>1130</v>
      </c>
      <c r="O1364" t="s">
        <v>1395</v>
      </c>
      <c r="P1364" s="1" t="s">
        <v>883</v>
      </c>
      <c r="Q1364" s="13" t="s">
        <v>25</v>
      </c>
      <c r="R1364">
        <v>3</v>
      </c>
      <c r="S1364">
        <v>5000</v>
      </c>
      <c r="T1364"/>
      <c r="U1364" s="9"/>
      <c r="V1364" s="9"/>
      <c r="W1364" s="9"/>
      <c r="X1364" s="9"/>
    </row>
    <row r="1365" spans="1:24">
      <c r="A1365" s="13" t="s">
        <v>19</v>
      </c>
      <c r="B1365" s="1"/>
      <c r="C1365" s="1" t="s">
        <v>29</v>
      </c>
      <c r="D1365" s="3">
        <v>15000</v>
      </c>
      <c r="E1365"/>
      <c r="F1365"/>
      <c r="G1365"/>
      <c r="H1365"/>
      <c r="I1365"/>
      <c r="J1365"/>
      <c r="K1365"/>
      <c r="L1365"/>
      <c r="M1365" s="18" t="s">
        <v>417</v>
      </c>
      <c r="N1365" t="s">
        <v>1130</v>
      </c>
      <c r="O1365" t="s">
        <v>1395</v>
      </c>
      <c r="P1365" s="1" t="s">
        <v>912</v>
      </c>
      <c r="Q1365" s="13" t="s">
        <v>25</v>
      </c>
      <c r="R1365">
        <v>3</v>
      </c>
      <c r="S1365">
        <v>5000</v>
      </c>
      <c r="T1365"/>
      <c r="U1365" s="9"/>
      <c r="V1365" s="9"/>
      <c r="W1365" s="9"/>
      <c r="X1365" s="9"/>
    </row>
    <row r="1366" spans="1:24">
      <c r="A1366" s="13" t="s">
        <v>19</v>
      </c>
      <c r="B1366" s="1"/>
      <c r="C1366" s="1" t="s">
        <v>29</v>
      </c>
      <c r="D1366" s="3">
        <v>10000</v>
      </c>
      <c r="E1366"/>
      <c r="F1366"/>
      <c r="G1366"/>
      <c r="H1366"/>
      <c r="I1366"/>
      <c r="J1366"/>
      <c r="K1366"/>
      <c r="L1366"/>
      <c r="M1366" s="18" t="s">
        <v>417</v>
      </c>
      <c r="N1366" t="s">
        <v>1130</v>
      </c>
      <c r="O1366" t="s">
        <v>1395</v>
      </c>
      <c r="P1366" s="1" t="s">
        <v>913</v>
      </c>
      <c r="Q1366" s="13" t="s">
        <v>25</v>
      </c>
      <c r="R1366">
        <v>2</v>
      </c>
      <c r="S1366">
        <v>5000</v>
      </c>
      <c r="T1366"/>
      <c r="U1366" s="9"/>
      <c r="V1366" s="9"/>
      <c r="W1366" s="9"/>
      <c r="X1366" s="9"/>
    </row>
    <row r="1367" spans="1:24">
      <c r="A1367" s="13" t="s">
        <v>19</v>
      </c>
      <c r="B1367" s="1"/>
      <c r="C1367" s="1" t="s">
        <v>29</v>
      </c>
      <c r="D1367" s="3">
        <v>10000</v>
      </c>
      <c r="E1367"/>
      <c r="F1367"/>
      <c r="G1367"/>
      <c r="H1367"/>
      <c r="I1367"/>
      <c r="J1367"/>
      <c r="K1367"/>
      <c r="L1367"/>
      <c r="M1367" s="18" t="s">
        <v>417</v>
      </c>
      <c r="N1367" t="s">
        <v>1130</v>
      </c>
      <c r="O1367" t="s">
        <v>1395</v>
      </c>
      <c r="P1367" s="1" t="s">
        <v>914</v>
      </c>
      <c r="Q1367" s="13" t="s">
        <v>25</v>
      </c>
      <c r="R1367">
        <v>2</v>
      </c>
      <c r="S1367">
        <v>5000</v>
      </c>
      <c r="T1367"/>
      <c r="U1367" s="9"/>
      <c r="V1367" s="9"/>
      <c r="W1367" s="9"/>
      <c r="X1367" s="9"/>
    </row>
    <row r="1368" spans="1:24">
      <c r="A1368" s="13" t="s">
        <v>19</v>
      </c>
      <c r="B1368" s="1"/>
      <c r="C1368" s="1" t="s">
        <v>29</v>
      </c>
      <c r="D1368" s="3">
        <v>10000</v>
      </c>
      <c r="E1368"/>
      <c r="F1368"/>
      <c r="G1368"/>
      <c r="H1368"/>
      <c r="I1368"/>
      <c r="J1368"/>
      <c r="K1368"/>
      <c r="L1368"/>
      <c r="M1368" s="18" t="s">
        <v>417</v>
      </c>
      <c r="N1368" t="s">
        <v>1130</v>
      </c>
      <c r="O1368" t="s">
        <v>1395</v>
      </c>
      <c r="P1368" s="1" t="s">
        <v>915</v>
      </c>
      <c r="Q1368" s="13" t="s">
        <v>25</v>
      </c>
      <c r="R1368">
        <v>2</v>
      </c>
      <c r="S1368">
        <v>5000</v>
      </c>
      <c r="T1368"/>
      <c r="U1368" s="9"/>
      <c r="V1368" s="9"/>
      <c r="W1368" s="9"/>
      <c r="X1368" s="9"/>
    </row>
    <row r="1369" spans="1:24">
      <c r="A1369" s="13" t="s">
        <v>19</v>
      </c>
      <c r="B1369" s="1"/>
      <c r="C1369" s="1" t="s">
        <v>29</v>
      </c>
      <c r="D1369" s="3">
        <v>5000</v>
      </c>
      <c r="E1369"/>
      <c r="F1369"/>
      <c r="G1369"/>
      <c r="H1369"/>
      <c r="I1369"/>
      <c r="J1369"/>
      <c r="K1369"/>
      <c r="L1369"/>
      <c r="M1369" s="18" t="s">
        <v>417</v>
      </c>
      <c r="N1369" t="s">
        <v>1130</v>
      </c>
      <c r="O1369" t="s">
        <v>1395</v>
      </c>
      <c r="P1369" s="1" t="s">
        <v>916</v>
      </c>
      <c r="Q1369" s="13" t="s">
        <v>25</v>
      </c>
      <c r="R1369">
        <v>1</v>
      </c>
      <c r="S1369">
        <v>5000</v>
      </c>
      <c r="T1369"/>
      <c r="U1369" s="9"/>
      <c r="V1369" s="9"/>
      <c r="W1369" s="9"/>
      <c r="X1369" s="9"/>
    </row>
    <row r="1370" spans="1:24">
      <c r="A1370" s="13" t="s">
        <v>19</v>
      </c>
      <c r="B1370" s="1"/>
      <c r="C1370" s="1" t="s">
        <v>29</v>
      </c>
      <c r="D1370" s="3">
        <v>5000</v>
      </c>
      <c r="E1370"/>
      <c r="F1370"/>
      <c r="G1370"/>
      <c r="H1370"/>
      <c r="I1370"/>
      <c r="J1370"/>
      <c r="K1370"/>
      <c r="L1370"/>
      <c r="M1370" s="18" t="s">
        <v>417</v>
      </c>
      <c r="N1370" t="s">
        <v>1130</v>
      </c>
      <c r="O1370" t="s">
        <v>1395</v>
      </c>
      <c r="P1370" s="1" t="s">
        <v>917</v>
      </c>
      <c r="Q1370" s="13" t="s">
        <v>25</v>
      </c>
      <c r="R1370">
        <v>1</v>
      </c>
      <c r="S1370">
        <v>5000</v>
      </c>
      <c r="T1370"/>
      <c r="U1370" s="9"/>
      <c r="V1370" s="9"/>
      <c r="W1370" s="9"/>
      <c r="X1370" s="9"/>
    </row>
    <row r="1371" spans="1:24">
      <c r="A1371" s="13" t="s">
        <v>19</v>
      </c>
      <c r="B1371" s="1"/>
      <c r="C1371" s="1" t="s">
        <v>29</v>
      </c>
      <c r="D1371" s="3">
        <v>20000</v>
      </c>
      <c r="E1371"/>
      <c r="F1371"/>
      <c r="G1371"/>
      <c r="H1371"/>
      <c r="I1371"/>
      <c r="J1371"/>
      <c r="K1371"/>
      <c r="L1371"/>
      <c r="M1371" s="18" t="s">
        <v>417</v>
      </c>
      <c r="N1371" t="s">
        <v>1130</v>
      </c>
      <c r="O1371" t="s">
        <v>1395</v>
      </c>
      <c r="P1371" s="1" t="s">
        <v>918</v>
      </c>
      <c r="Q1371" s="13" t="s">
        <v>25</v>
      </c>
      <c r="R1371">
        <v>4</v>
      </c>
      <c r="S1371">
        <v>5000</v>
      </c>
      <c r="T1371"/>
      <c r="U1371" s="9"/>
      <c r="V1371" s="9"/>
      <c r="W1371" s="9"/>
      <c r="X1371" s="9"/>
    </row>
    <row r="1372" spans="1:24">
      <c r="A1372" s="13" t="s">
        <v>19</v>
      </c>
      <c r="B1372" s="1"/>
      <c r="C1372" s="1" t="s">
        <v>32</v>
      </c>
      <c r="D1372" s="3">
        <v>10000</v>
      </c>
      <c r="E1372"/>
      <c r="F1372"/>
      <c r="G1372"/>
      <c r="H1372"/>
      <c r="I1372"/>
      <c r="J1372"/>
      <c r="K1372"/>
      <c r="L1372"/>
      <c r="M1372" s="18" t="s">
        <v>417</v>
      </c>
      <c r="N1372" t="s">
        <v>1130</v>
      </c>
      <c r="O1372" t="s">
        <v>1395</v>
      </c>
      <c r="P1372" s="1" t="s">
        <v>919</v>
      </c>
      <c r="Q1372" s="13" t="s">
        <v>25</v>
      </c>
      <c r="R1372">
        <v>2</v>
      </c>
      <c r="S1372">
        <v>5000</v>
      </c>
      <c r="T1372"/>
      <c r="U1372" s="9"/>
      <c r="V1372" s="9"/>
      <c r="W1372" s="9"/>
      <c r="X1372" s="9"/>
    </row>
    <row r="1373" spans="1:24">
      <c r="A1373" s="13"/>
      <c r="B1373" s="1"/>
      <c r="C1373" s="1"/>
      <c r="D1373" s="3" t="str">
        <f>SUBTOTAL(9,D1349:D1372)</f>
        <v>0</v>
      </c>
      <c r="E1373"/>
      <c r="F1373"/>
      <c r="G1373"/>
      <c r="H1373"/>
      <c r="I1373"/>
      <c r="J1373"/>
      <c r="K1373"/>
      <c r="L1373"/>
      <c r="M1373" s="18" t="s">
        <v>418</v>
      </c>
      <c r="N1373" t="s">
        <v>1554</v>
      </c>
      <c r="O1373" t="s">
        <v>1395</v>
      </c>
      <c r="P1373" s="1"/>
      <c r="Q1373" s="13"/>
      <c r="R1373"/>
      <c r="S1373"/>
      <c r="T1373"/>
      <c r="U1373" s="9"/>
      <c r="V1373" s="9"/>
      <c r="W1373" s="9"/>
      <c r="X1373" s="9"/>
    </row>
    <row r="1374" spans="1:24">
      <c r="A1374" s="13" t="s">
        <v>19</v>
      </c>
      <c r="B1374" s="1"/>
      <c r="C1374" s="1" t="s">
        <v>20</v>
      </c>
      <c r="D1374" s="3">
        <v>64000</v>
      </c>
      <c r="E1374"/>
      <c r="F1374"/>
      <c r="G1374"/>
      <c r="H1374"/>
      <c r="I1374"/>
      <c r="J1374"/>
      <c r="K1374"/>
      <c r="L1374"/>
      <c r="M1374" s="18" t="s">
        <v>419</v>
      </c>
      <c r="N1374" t="s">
        <v>1222</v>
      </c>
      <c r="O1374" t="s">
        <v>1395</v>
      </c>
      <c r="P1374" s="1" t="s">
        <v>740</v>
      </c>
      <c r="Q1374" s="13" t="s">
        <v>25</v>
      </c>
      <c r="R1374">
        <v>2</v>
      </c>
      <c r="S1374">
        <v>32000</v>
      </c>
      <c r="T1374"/>
      <c r="U1374" s="9"/>
      <c r="V1374" s="9"/>
      <c r="W1374" s="9"/>
      <c r="X1374" s="9"/>
    </row>
    <row r="1375" spans="1:24">
      <c r="A1375" s="13" t="s">
        <v>19</v>
      </c>
      <c r="B1375" s="1"/>
      <c r="C1375" s="1" t="s">
        <v>20</v>
      </c>
      <c r="D1375" s="3">
        <v>32000</v>
      </c>
      <c r="E1375"/>
      <c r="F1375"/>
      <c r="G1375"/>
      <c r="H1375"/>
      <c r="I1375"/>
      <c r="J1375"/>
      <c r="K1375"/>
      <c r="L1375"/>
      <c r="M1375" s="18" t="s">
        <v>419</v>
      </c>
      <c r="N1375" t="s">
        <v>1222</v>
      </c>
      <c r="O1375" t="s">
        <v>1395</v>
      </c>
      <c r="P1375" s="1" t="s">
        <v>665</v>
      </c>
      <c r="Q1375" s="13" t="s">
        <v>25</v>
      </c>
      <c r="R1375">
        <v>1</v>
      </c>
      <c r="S1375">
        <v>32000</v>
      </c>
      <c r="T1375"/>
      <c r="U1375" s="9"/>
      <c r="V1375" s="9"/>
      <c r="W1375" s="9"/>
      <c r="X1375" s="9"/>
    </row>
    <row r="1376" spans="1:24">
      <c r="A1376" s="13" t="s">
        <v>19</v>
      </c>
      <c r="B1376" s="1"/>
      <c r="C1376" s="1" t="s">
        <v>20</v>
      </c>
      <c r="D1376" s="3">
        <v>64000</v>
      </c>
      <c r="E1376"/>
      <c r="F1376"/>
      <c r="G1376"/>
      <c r="H1376"/>
      <c r="I1376"/>
      <c r="J1376"/>
      <c r="K1376"/>
      <c r="L1376"/>
      <c r="M1376" s="18" t="s">
        <v>419</v>
      </c>
      <c r="N1376" t="s">
        <v>1222</v>
      </c>
      <c r="O1376" t="s">
        <v>1395</v>
      </c>
      <c r="P1376" s="1" t="s">
        <v>848</v>
      </c>
      <c r="Q1376" s="13" t="s">
        <v>25</v>
      </c>
      <c r="R1376">
        <v>2</v>
      </c>
      <c r="S1376">
        <v>32000</v>
      </c>
      <c r="T1376"/>
      <c r="U1376" s="9"/>
      <c r="V1376" s="9"/>
      <c r="W1376" s="9"/>
      <c r="X1376" s="9"/>
    </row>
    <row r="1377" spans="1:24">
      <c r="A1377" s="13" t="s">
        <v>19</v>
      </c>
      <c r="B1377" s="1"/>
      <c r="C1377" s="1" t="s">
        <v>29</v>
      </c>
      <c r="D1377" s="3">
        <v>10000</v>
      </c>
      <c r="E1377"/>
      <c r="F1377"/>
      <c r="G1377"/>
      <c r="H1377"/>
      <c r="I1377"/>
      <c r="J1377"/>
      <c r="K1377"/>
      <c r="L1377"/>
      <c r="M1377" s="18" t="s">
        <v>419</v>
      </c>
      <c r="N1377" t="s">
        <v>1222</v>
      </c>
      <c r="O1377" t="s">
        <v>1395</v>
      </c>
      <c r="P1377" s="1" t="s">
        <v>742</v>
      </c>
      <c r="Q1377" s="13" t="s">
        <v>25</v>
      </c>
      <c r="R1377">
        <v>2</v>
      </c>
      <c r="S1377">
        <v>5000</v>
      </c>
      <c r="T1377"/>
      <c r="U1377" s="9"/>
      <c r="V1377" s="9"/>
      <c r="W1377" s="9"/>
      <c r="X1377" s="9"/>
    </row>
    <row r="1378" spans="1:24">
      <c r="A1378" s="13" t="s">
        <v>19</v>
      </c>
      <c r="B1378" s="1"/>
      <c r="C1378" s="1" t="s">
        <v>29</v>
      </c>
      <c r="D1378" s="3">
        <v>5000</v>
      </c>
      <c r="E1378"/>
      <c r="F1378"/>
      <c r="G1378"/>
      <c r="H1378"/>
      <c r="I1378"/>
      <c r="J1378"/>
      <c r="K1378"/>
      <c r="L1378"/>
      <c r="M1378" s="18" t="s">
        <v>419</v>
      </c>
      <c r="N1378" t="s">
        <v>1222</v>
      </c>
      <c r="O1378" t="s">
        <v>1395</v>
      </c>
      <c r="P1378" s="1" t="s">
        <v>671</v>
      </c>
      <c r="Q1378" s="13" t="s">
        <v>25</v>
      </c>
      <c r="R1378">
        <v>1</v>
      </c>
      <c r="S1378">
        <v>5000</v>
      </c>
      <c r="T1378"/>
      <c r="U1378" s="9"/>
      <c r="V1378" s="9"/>
      <c r="W1378" s="9"/>
      <c r="X1378" s="9"/>
    </row>
    <row r="1379" spans="1:24">
      <c r="A1379" s="13" t="s">
        <v>19</v>
      </c>
      <c r="B1379" s="1"/>
      <c r="C1379" s="1" t="s">
        <v>29</v>
      </c>
      <c r="D1379" s="3">
        <v>10000</v>
      </c>
      <c r="E1379"/>
      <c r="F1379"/>
      <c r="G1379"/>
      <c r="H1379"/>
      <c r="I1379"/>
      <c r="J1379"/>
      <c r="K1379"/>
      <c r="L1379"/>
      <c r="M1379" s="18" t="s">
        <v>419</v>
      </c>
      <c r="N1379" t="s">
        <v>1222</v>
      </c>
      <c r="O1379" t="s">
        <v>1395</v>
      </c>
      <c r="P1379" s="1" t="s">
        <v>849</v>
      </c>
      <c r="Q1379" s="13" t="s">
        <v>25</v>
      </c>
      <c r="R1379">
        <v>2</v>
      </c>
      <c r="S1379">
        <v>5000</v>
      </c>
      <c r="T1379"/>
      <c r="U1379" s="9"/>
      <c r="V1379" s="9"/>
      <c r="W1379" s="9"/>
      <c r="X1379" s="9"/>
    </row>
    <row r="1380" spans="1:24">
      <c r="A1380" s="13"/>
      <c r="B1380" s="1"/>
      <c r="C1380" s="1"/>
      <c r="D1380" s="3" t="str">
        <f>SUBTOTAL(9,D1374:D1379)</f>
        <v>0</v>
      </c>
      <c r="E1380"/>
      <c r="F1380"/>
      <c r="G1380"/>
      <c r="H1380"/>
      <c r="I1380"/>
      <c r="J1380"/>
      <c r="K1380"/>
      <c r="L1380"/>
      <c r="M1380" s="18" t="s">
        <v>420</v>
      </c>
      <c r="N1380" t="s">
        <v>1555</v>
      </c>
      <c r="O1380" t="s">
        <v>1395</v>
      </c>
      <c r="P1380" s="1"/>
      <c r="Q1380" s="13"/>
      <c r="R1380"/>
      <c r="S1380"/>
      <c r="T1380"/>
      <c r="U1380" s="9"/>
      <c r="V1380" s="9"/>
      <c r="W1380" s="9"/>
      <c r="X1380" s="9"/>
    </row>
    <row r="1381" spans="1:24">
      <c r="A1381" s="13" t="s">
        <v>19</v>
      </c>
      <c r="B1381" s="1"/>
      <c r="C1381" s="1" t="s">
        <v>20</v>
      </c>
      <c r="D1381" s="3">
        <v>220000</v>
      </c>
      <c r="E1381"/>
      <c r="F1381"/>
      <c r="G1381"/>
      <c r="H1381"/>
      <c r="I1381"/>
      <c r="J1381"/>
      <c r="K1381"/>
      <c r="L1381"/>
      <c r="M1381" s="18" t="s">
        <v>421</v>
      </c>
      <c r="N1381" t="s">
        <v>1258</v>
      </c>
      <c r="O1381" t="s">
        <v>1395</v>
      </c>
      <c r="P1381" s="1" t="s">
        <v>24</v>
      </c>
      <c r="Q1381" s="13" t="s">
        <v>25</v>
      </c>
      <c r="R1381">
        <v>10</v>
      </c>
      <c r="S1381">
        <v>22000</v>
      </c>
      <c r="T1381"/>
      <c r="U1381" s="9"/>
      <c r="V1381" s="9"/>
      <c r="W1381" s="9"/>
      <c r="X1381" s="9"/>
    </row>
    <row r="1382" spans="1:24">
      <c r="A1382" s="13" t="s">
        <v>19</v>
      </c>
      <c r="B1382" s="1"/>
      <c r="C1382" s="1" t="s">
        <v>20</v>
      </c>
      <c r="D1382" s="3">
        <v>176000</v>
      </c>
      <c r="E1382"/>
      <c r="F1382"/>
      <c r="G1382"/>
      <c r="H1382"/>
      <c r="I1382"/>
      <c r="J1382"/>
      <c r="K1382"/>
      <c r="L1382"/>
      <c r="M1382" s="18" t="s">
        <v>421</v>
      </c>
      <c r="N1382" t="s">
        <v>1258</v>
      </c>
      <c r="O1382" t="s">
        <v>1395</v>
      </c>
      <c r="P1382" s="1" t="s">
        <v>24</v>
      </c>
      <c r="Q1382" s="13" t="s">
        <v>25</v>
      </c>
      <c r="R1382">
        <v>8</v>
      </c>
      <c r="S1382">
        <v>22000</v>
      </c>
      <c r="T1382"/>
      <c r="U1382" s="9"/>
      <c r="V1382" s="9"/>
      <c r="W1382" s="9"/>
      <c r="X1382" s="9"/>
    </row>
    <row r="1383" spans="1:24">
      <c r="A1383" s="13" t="s">
        <v>19</v>
      </c>
      <c r="B1383" s="1"/>
      <c r="C1383" s="1" t="s">
        <v>26</v>
      </c>
      <c r="D1383" s="3">
        <v>20000</v>
      </c>
      <c r="E1383"/>
      <c r="F1383"/>
      <c r="G1383"/>
      <c r="H1383"/>
      <c r="I1383"/>
      <c r="J1383"/>
      <c r="K1383"/>
      <c r="L1383"/>
      <c r="M1383" s="18" t="s">
        <v>421</v>
      </c>
      <c r="N1383" t="s">
        <v>1258</v>
      </c>
      <c r="O1383" t="s">
        <v>1395</v>
      </c>
      <c r="P1383" s="1" t="s">
        <v>512</v>
      </c>
      <c r="Q1383" s="13" t="s">
        <v>25</v>
      </c>
      <c r="R1383">
        <v>1</v>
      </c>
      <c r="S1383">
        <v>20000</v>
      </c>
      <c r="T1383"/>
      <c r="U1383" s="9"/>
      <c r="V1383" s="9"/>
      <c r="W1383" s="9"/>
      <c r="X1383" s="9"/>
    </row>
    <row r="1384" spans="1:24">
      <c r="A1384" s="13" t="s">
        <v>19</v>
      </c>
      <c r="B1384" s="1"/>
      <c r="C1384" s="1" t="s">
        <v>26</v>
      </c>
      <c r="D1384" s="3">
        <v>60000</v>
      </c>
      <c r="E1384"/>
      <c r="F1384"/>
      <c r="G1384"/>
      <c r="H1384"/>
      <c r="I1384"/>
      <c r="J1384"/>
      <c r="K1384"/>
      <c r="L1384"/>
      <c r="M1384" s="18" t="s">
        <v>421</v>
      </c>
      <c r="N1384" t="s">
        <v>1258</v>
      </c>
      <c r="O1384" t="s">
        <v>1395</v>
      </c>
      <c r="P1384" s="1" t="s">
        <v>512</v>
      </c>
      <c r="Q1384" s="13" t="s">
        <v>25</v>
      </c>
      <c r="R1384">
        <v>3</v>
      </c>
      <c r="S1384">
        <v>20000</v>
      </c>
      <c r="T1384"/>
      <c r="U1384" s="9"/>
      <c r="V1384" s="9"/>
      <c r="W1384" s="9"/>
      <c r="X1384" s="9"/>
    </row>
    <row r="1385" spans="1:24">
      <c r="A1385" s="13" t="s">
        <v>19</v>
      </c>
      <c r="B1385" s="1"/>
      <c r="C1385" s="1" t="s">
        <v>26</v>
      </c>
      <c r="D1385" s="3">
        <v>20000</v>
      </c>
      <c r="E1385"/>
      <c r="F1385"/>
      <c r="G1385"/>
      <c r="H1385"/>
      <c r="I1385"/>
      <c r="J1385"/>
      <c r="K1385"/>
      <c r="L1385"/>
      <c r="M1385" s="18" t="s">
        <v>421</v>
      </c>
      <c r="N1385" t="s">
        <v>1258</v>
      </c>
      <c r="O1385" t="s">
        <v>1395</v>
      </c>
      <c r="P1385" s="1" t="s">
        <v>512</v>
      </c>
      <c r="Q1385" s="13" t="s">
        <v>25</v>
      </c>
      <c r="R1385">
        <v>1</v>
      </c>
      <c r="S1385">
        <v>20000</v>
      </c>
      <c r="T1385"/>
      <c r="U1385" s="9"/>
      <c r="V1385" s="9"/>
      <c r="W1385" s="9"/>
      <c r="X1385" s="9"/>
    </row>
    <row r="1386" spans="1:24">
      <c r="A1386" s="13" t="s">
        <v>19</v>
      </c>
      <c r="B1386" s="1"/>
      <c r="C1386" s="1" t="s">
        <v>26</v>
      </c>
      <c r="D1386" s="3">
        <v>140000</v>
      </c>
      <c r="E1386"/>
      <c r="F1386"/>
      <c r="G1386"/>
      <c r="H1386"/>
      <c r="I1386"/>
      <c r="J1386"/>
      <c r="K1386"/>
      <c r="L1386"/>
      <c r="M1386" s="18" t="s">
        <v>421</v>
      </c>
      <c r="N1386" t="s">
        <v>1258</v>
      </c>
      <c r="O1386" t="s">
        <v>1395</v>
      </c>
      <c r="P1386" s="1" t="s">
        <v>512</v>
      </c>
      <c r="Q1386" s="13" t="s">
        <v>25</v>
      </c>
      <c r="R1386">
        <v>7</v>
      </c>
      <c r="S1386">
        <v>20000</v>
      </c>
      <c r="T1386"/>
      <c r="U1386" s="9"/>
      <c r="V1386" s="9"/>
      <c r="W1386" s="9"/>
      <c r="X1386" s="9"/>
    </row>
    <row r="1387" spans="1:24">
      <c r="A1387" s="13" t="s">
        <v>19</v>
      </c>
      <c r="B1387" s="1"/>
      <c r="C1387" s="1" t="s">
        <v>26</v>
      </c>
      <c r="D1387" s="3">
        <v>25000</v>
      </c>
      <c r="E1387"/>
      <c r="F1387"/>
      <c r="G1387"/>
      <c r="H1387"/>
      <c r="I1387"/>
      <c r="J1387"/>
      <c r="K1387"/>
      <c r="L1387"/>
      <c r="M1387" s="18" t="s">
        <v>421</v>
      </c>
      <c r="N1387" t="s">
        <v>1258</v>
      </c>
      <c r="O1387" t="s">
        <v>1395</v>
      </c>
      <c r="P1387" s="1" t="s">
        <v>920</v>
      </c>
      <c r="Q1387" s="13" t="s">
        <v>25</v>
      </c>
      <c r="R1387">
        <v>1</v>
      </c>
      <c r="S1387">
        <v>25000</v>
      </c>
      <c r="T1387"/>
      <c r="U1387" s="9"/>
      <c r="V1387" s="9"/>
      <c r="W1387" s="9"/>
      <c r="X1387" s="9"/>
    </row>
    <row r="1388" spans="1:24">
      <c r="A1388" s="13" t="s">
        <v>19</v>
      </c>
      <c r="B1388" s="1"/>
      <c r="C1388" s="1" t="s">
        <v>26</v>
      </c>
      <c r="D1388" s="3">
        <v>25000</v>
      </c>
      <c r="E1388"/>
      <c r="F1388"/>
      <c r="G1388"/>
      <c r="H1388"/>
      <c r="I1388"/>
      <c r="J1388"/>
      <c r="K1388"/>
      <c r="L1388"/>
      <c r="M1388" s="18" t="s">
        <v>421</v>
      </c>
      <c r="N1388" t="s">
        <v>1258</v>
      </c>
      <c r="O1388" t="s">
        <v>1395</v>
      </c>
      <c r="P1388" s="1" t="s">
        <v>622</v>
      </c>
      <c r="Q1388" s="13" t="s">
        <v>25</v>
      </c>
      <c r="R1388">
        <v>1</v>
      </c>
      <c r="S1388">
        <v>25000</v>
      </c>
      <c r="T1388"/>
      <c r="U1388" s="9"/>
      <c r="V1388" s="9"/>
      <c r="W1388" s="9"/>
      <c r="X1388" s="9"/>
    </row>
    <row r="1389" spans="1:24">
      <c r="A1389" s="13" t="s">
        <v>19</v>
      </c>
      <c r="B1389" s="1"/>
      <c r="C1389" s="1" t="s">
        <v>26</v>
      </c>
      <c r="D1389" s="3">
        <v>25000</v>
      </c>
      <c r="E1389"/>
      <c r="F1389"/>
      <c r="G1389"/>
      <c r="H1389"/>
      <c r="I1389"/>
      <c r="J1389"/>
      <c r="K1389"/>
      <c r="L1389"/>
      <c r="M1389" s="18" t="s">
        <v>421</v>
      </c>
      <c r="N1389" t="s">
        <v>1258</v>
      </c>
      <c r="O1389" t="s">
        <v>1395</v>
      </c>
      <c r="P1389" s="1" t="s">
        <v>878</v>
      </c>
      <c r="Q1389" s="13" t="s">
        <v>25</v>
      </c>
      <c r="R1389">
        <v>1</v>
      </c>
      <c r="S1389">
        <v>25000</v>
      </c>
      <c r="T1389"/>
      <c r="U1389" s="9"/>
      <c r="V1389" s="9"/>
      <c r="W1389" s="9"/>
      <c r="X1389" s="9"/>
    </row>
    <row r="1390" spans="1:24">
      <c r="A1390" s="13" t="s">
        <v>19</v>
      </c>
      <c r="B1390" s="1"/>
      <c r="C1390" s="1" t="s">
        <v>26</v>
      </c>
      <c r="D1390" s="3">
        <v>25000</v>
      </c>
      <c r="E1390"/>
      <c r="F1390"/>
      <c r="G1390"/>
      <c r="H1390"/>
      <c r="I1390"/>
      <c r="J1390"/>
      <c r="K1390"/>
      <c r="L1390"/>
      <c r="M1390" s="18" t="s">
        <v>421</v>
      </c>
      <c r="N1390" t="s">
        <v>1258</v>
      </c>
      <c r="O1390" t="s">
        <v>1395</v>
      </c>
      <c r="P1390" s="1" t="s">
        <v>770</v>
      </c>
      <c r="Q1390" s="13" t="s">
        <v>25</v>
      </c>
      <c r="R1390">
        <v>1</v>
      </c>
      <c r="S1390">
        <v>25000</v>
      </c>
      <c r="T1390"/>
      <c r="U1390" s="9"/>
      <c r="V1390" s="9"/>
      <c r="W1390" s="9"/>
      <c r="X1390" s="9"/>
    </row>
    <row r="1391" spans="1:24">
      <c r="A1391" s="13" t="s">
        <v>19</v>
      </c>
      <c r="B1391" s="1"/>
      <c r="C1391" s="1" t="s">
        <v>26</v>
      </c>
      <c r="D1391" s="3">
        <v>25000</v>
      </c>
      <c r="E1391"/>
      <c r="F1391"/>
      <c r="G1391"/>
      <c r="H1391"/>
      <c r="I1391"/>
      <c r="J1391"/>
      <c r="K1391"/>
      <c r="L1391"/>
      <c r="M1391" s="18" t="s">
        <v>421</v>
      </c>
      <c r="N1391" t="s">
        <v>1258</v>
      </c>
      <c r="O1391" t="s">
        <v>1395</v>
      </c>
      <c r="P1391" s="1" t="s">
        <v>870</v>
      </c>
      <c r="Q1391" s="13" t="s">
        <v>25</v>
      </c>
      <c r="R1391">
        <v>1</v>
      </c>
      <c r="S1391">
        <v>25000</v>
      </c>
      <c r="T1391"/>
      <c r="U1391" s="9"/>
      <c r="V1391" s="9"/>
      <c r="W1391" s="9"/>
      <c r="X1391" s="9"/>
    </row>
    <row r="1392" spans="1:24">
      <c r="A1392" s="13" t="s">
        <v>19</v>
      </c>
      <c r="B1392" s="1"/>
      <c r="C1392" s="1" t="s">
        <v>26</v>
      </c>
      <c r="D1392" s="3">
        <v>125000</v>
      </c>
      <c r="E1392"/>
      <c r="F1392"/>
      <c r="G1392"/>
      <c r="H1392"/>
      <c r="I1392"/>
      <c r="J1392"/>
      <c r="K1392"/>
      <c r="L1392"/>
      <c r="M1392" s="18" t="s">
        <v>421</v>
      </c>
      <c r="N1392" t="s">
        <v>1258</v>
      </c>
      <c r="O1392" t="s">
        <v>1395</v>
      </c>
      <c r="P1392" s="1" t="s">
        <v>701</v>
      </c>
      <c r="Q1392" s="13" t="s">
        <v>25</v>
      </c>
      <c r="R1392">
        <v>5</v>
      </c>
      <c r="S1392">
        <v>25000</v>
      </c>
      <c r="T1392"/>
      <c r="U1392" s="9"/>
      <c r="V1392" s="9"/>
      <c r="W1392" s="9"/>
      <c r="X1392" s="9"/>
    </row>
    <row r="1393" spans="1:24">
      <c r="A1393" s="13" t="s">
        <v>19</v>
      </c>
      <c r="B1393" s="1"/>
      <c r="C1393" s="1" t="s">
        <v>26</v>
      </c>
      <c r="D1393" s="3">
        <v>50000</v>
      </c>
      <c r="E1393"/>
      <c r="F1393"/>
      <c r="G1393"/>
      <c r="H1393"/>
      <c r="I1393"/>
      <c r="J1393"/>
      <c r="K1393"/>
      <c r="L1393"/>
      <c r="M1393" s="18" t="s">
        <v>421</v>
      </c>
      <c r="N1393" t="s">
        <v>1258</v>
      </c>
      <c r="O1393" t="s">
        <v>1395</v>
      </c>
      <c r="P1393" s="1" t="s">
        <v>878</v>
      </c>
      <c r="Q1393" s="13" t="s">
        <v>25</v>
      </c>
      <c r="R1393">
        <v>2</v>
      </c>
      <c r="S1393">
        <v>25000</v>
      </c>
      <c r="T1393"/>
      <c r="U1393" s="9"/>
      <c r="V1393" s="9"/>
      <c r="W1393" s="9"/>
      <c r="X1393" s="9"/>
    </row>
    <row r="1394" spans="1:24">
      <c r="A1394" s="13" t="s">
        <v>19</v>
      </c>
      <c r="B1394" s="1"/>
      <c r="C1394" s="1" t="s">
        <v>26</v>
      </c>
      <c r="D1394" s="3">
        <v>50000</v>
      </c>
      <c r="E1394"/>
      <c r="F1394"/>
      <c r="G1394"/>
      <c r="H1394"/>
      <c r="I1394"/>
      <c r="J1394"/>
      <c r="K1394"/>
      <c r="L1394"/>
      <c r="M1394" s="18" t="s">
        <v>421</v>
      </c>
      <c r="N1394" t="s">
        <v>1258</v>
      </c>
      <c r="O1394" t="s">
        <v>1395</v>
      </c>
      <c r="P1394" s="1" t="s">
        <v>590</v>
      </c>
      <c r="Q1394" s="13" t="s">
        <v>25</v>
      </c>
      <c r="R1394">
        <v>2</v>
      </c>
      <c r="S1394">
        <v>25000</v>
      </c>
      <c r="T1394"/>
      <c r="U1394" s="9"/>
      <c r="V1394" s="9"/>
      <c r="W1394" s="9"/>
      <c r="X1394" s="9"/>
    </row>
    <row r="1395" spans="1:24">
      <c r="A1395" s="13" t="s">
        <v>19</v>
      </c>
      <c r="B1395" s="1"/>
      <c r="C1395" s="1" t="s">
        <v>26</v>
      </c>
      <c r="D1395" s="3">
        <v>25000</v>
      </c>
      <c r="E1395"/>
      <c r="F1395"/>
      <c r="G1395"/>
      <c r="H1395"/>
      <c r="I1395"/>
      <c r="J1395"/>
      <c r="K1395"/>
      <c r="L1395"/>
      <c r="M1395" s="18" t="s">
        <v>421</v>
      </c>
      <c r="N1395" t="s">
        <v>1258</v>
      </c>
      <c r="O1395" t="s">
        <v>1395</v>
      </c>
      <c r="P1395" s="1" t="s">
        <v>623</v>
      </c>
      <c r="Q1395" s="13" t="s">
        <v>25</v>
      </c>
      <c r="R1395">
        <v>1</v>
      </c>
      <c r="S1395">
        <v>25000</v>
      </c>
      <c r="T1395"/>
      <c r="U1395" s="9"/>
      <c r="V1395" s="9"/>
      <c r="W1395" s="9"/>
      <c r="X1395" s="9"/>
    </row>
    <row r="1396" spans="1:24">
      <c r="A1396" s="13" t="s">
        <v>19</v>
      </c>
      <c r="B1396" s="1"/>
      <c r="C1396" s="1" t="s">
        <v>26</v>
      </c>
      <c r="D1396" s="3">
        <v>100000</v>
      </c>
      <c r="E1396"/>
      <c r="F1396"/>
      <c r="G1396"/>
      <c r="H1396"/>
      <c r="I1396"/>
      <c r="J1396"/>
      <c r="K1396"/>
      <c r="L1396"/>
      <c r="M1396" s="18" t="s">
        <v>421</v>
      </c>
      <c r="N1396" t="s">
        <v>1258</v>
      </c>
      <c r="O1396" t="s">
        <v>1395</v>
      </c>
      <c r="P1396" s="1" t="s">
        <v>796</v>
      </c>
      <c r="Q1396" s="13" t="s">
        <v>25</v>
      </c>
      <c r="R1396">
        <v>4</v>
      </c>
      <c r="S1396">
        <v>25000</v>
      </c>
      <c r="T1396"/>
      <c r="U1396" s="9"/>
      <c r="V1396" s="9"/>
      <c r="W1396" s="9"/>
      <c r="X1396" s="9"/>
    </row>
    <row r="1397" spans="1:24">
      <c r="A1397" s="13" t="s">
        <v>19</v>
      </c>
      <c r="B1397" s="1"/>
      <c r="C1397" s="1" t="s">
        <v>26</v>
      </c>
      <c r="D1397" s="3">
        <v>50000</v>
      </c>
      <c r="E1397"/>
      <c r="F1397"/>
      <c r="G1397"/>
      <c r="H1397"/>
      <c r="I1397"/>
      <c r="J1397"/>
      <c r="K1397"/>
      <c r="L1397"/>
      <c r="M1397" s="18" t="s">
        <v>421</v>
      </c>
      <c r="N1397" t="s">
        <v>1258</v>
      </c>
      <c r="O1397" t="s">
        <v>1395</v>
      </c>
      <c r="P1397" s="1" t="s">
        <v>921</v>
      </c>
      <c r="Q1397" s="13" t="s">
        <v>25</v>
      </c>
      <c r="R1397">
        <v>2</v>
      </c>
      <c r="S1397">
        <v>25000</v>
      </c>
      <c r="T1397"/>
      <c r="U1397" s="9"/>
      <c r="V1397" s="9"/>
      <c r="W1397" s="9"/>
      <c r="X1397" s="9"/>
    </row>
    <row r="1398" spans="1:24">
      <c r="A1398" s="13" t="s">
        <v>19</v>
      </c>
      <c r="B1398" s="1"/>
      <c r="C1398" s="1" t="s">
        <v>26</v>
      </c>
      <c r="D1398" s="3">
        <v>25000</v>
      </c>
      <c r="E1398"/>
      <c r="F1398"/>
      <c r="G1398"/>
      <c r="H1398"/>
      <c r="I1398"/>
      <c r="J1398"/>
      <c r="K1398"/>
      <c r="L1398"/>
      <c r="M1398" s="18" t="s">
        <v>421</v>
      </c>
      <c r="N1398" t="s">
        <v>1258</v>
      </c>
      <c r="O1398" t="s">
        <v>1395</v>
      </c>
      <c r="P1398" s="1" t="s">
        <v>624</v>
      </c>
      <c r="Q1398" s="13" t="s">
        <v>25</v>
      </c>
      <c r="R1398">
        <v>1</v>
      </c>
      <c r="S1398">
        <v>25000</v>
      </c>
      <c r="T1398"/>
      <c r="U1398" s="9"/>
      <c r="V1398" s="9"/>
      <c r="W1398" s="9"/>
      <c r="X1398" s="9"/>
    </row>
    <row r="1399" spans="1:24">
      <c r="A1399" s="13" t="s">
        <v>19</v>
      </c>
      <c r="B1399" s="1"/>
      <c r="C1399" s="1" t="s">
        <v>29</v>
      </c>
      <c r="D1399" s="3">
        <v>50000</v>
      </c>
      <c r="E1399"/>
      <c r="F1399"/>
      <c r="G1399"/>
      <c r="H1399"/>
      <c r="I1399"/>
      <c r="J1399"/>
      <c r="K1399"/>
      <c r="L1399"/>
      <c r="M1399" s="18" t="s">
        <v>421</v>
      </c>
      <c r="N1399" t="s">
        <v>1258</v>
      </c>
      <c r="O1399" t="s">
        <v>1395</v>
      </c>
      <c r="P1399" s="1" t="s">
        <v>30</v>
      </c>
      <c r="Q1399" s="13" t="s">
        <v>25</v>
      </c>
      <c r="R1399">
        <v>10</v>
      </c>
      <c r="S1399">
        <v>5000</v>
      </c>
      <c r="T1399"/>
      <c r="U1399" s="9"/>
      <c r="V1399" s="9"/>
      <c r="W1399" s="9"/>
      <c r="X1399" s="9"/>
    </row>
    <row r="1400" spans="1:24">
      <c r="A1400" s="13" t="s">
        <v>19</v>
      </c>
      <c r="B1400" s="1"/>
      <c r="C1400" s="1" t="s">
        <v>29</v>
      </c>
      <c r="D1400" s="3">
        <v>40000</v>
      </c>
      <c r="E1400"/>
      <c r="F1400"/>
      <c r="G1400"/>
      <c r="H1400"/>
      <c r="I1400"/>
      <c r="J1400"/>
      <c r="K1400"/>
      <c r="L1400"/>
      <c r="M1400" s="18" t="s">
        <v>421</v>
      </c>
      <c r="N1400" t="s">
        <v>1258</v>
      </c>
      <c r="O1400" t="s">
        <v>1395</v>
      </c>
      <c r="P1400" s="1" t="s">
        <v>30</v>
      </c>
      <c r="Q1400" s="13" t="s">
        <v>25</v>
      </c>
      <c r="R1400">
        <v>8</v>
      </c>
      <c r="S1400">
        <v>5000</v>
      </c>
      <c r="T1400"/>
      <c r="U1400" s="9"/>
      <c r="V1400" s="9"/>
      <c r="W1400" s="9"/>
      <c r="X1400" s="9"/>
    </row>
    <row r="1401" spans="1:24">
      <c r="A1401" s="13" t="s">
        <v>19</v>
      </c>
      <c r="B1401" s="1"/>
      <c r="C1401" s="1" t="s">
        <v>32</v>
      </c>
      <c r="D1401" s="3">
        <v>5000</v>
      </c>
      <c r="E1401"/>
      <c r="F1401"/>
      <c r="G1401"/>
      <c r="H1401"/>
      <c r="I1401"/>
      <c r="J1401"/>
      <c r="K1401"/>
      <c r="L1401"/>
      <c r="M1401" s="18" t="s">
        <v>421</v>
      </c>
      <c r="N1401" t="s">
        <v>1258</v>
      </c>
      <c r="O1401" t="s">
        <v>1395</v>
      </c>
      <c r="P1401" s="1" t="s">
        <v>515</v>
      </c>
      <c r="Q1401" s="13" t="s">
        <v>25</v>
      </c>
      <c r="R1401">
        <v>1</v>
      </c>
      <c r="S1401">
        <v>5000</v>
      </c>
      <c r="T1401"/>
      <c r="U1401" s="9"/>
      <c r="V1401" s="9"/>
      <c r="W1401" s="9"/>
      <c r="X1401" s="9"/>
    </row>
    <row r="1402" spans="1:24">
      <c r="A1402" s="13" t="s">
        <v>19</v>
      </c>
      <c r="B1402" s="1"/>
      <c r="C1402" s="1" t="s">
        <v>32</v>
      </c>
      <c r="D1402" s="3">
        <v>15000</v>
      </c>
      <c r="E1402"/>
      <c r="F1402"/>
      <c r="G1402"/>
      <c r="H1402"/>
      <c r="I1402"/>
      <c r="J1402"/>
      <c r="K1402"/>
      <c r="L1402"/>
      <c r="M1402" s="18" t="s">
        <v>421</v>
      </c>
      <c r="N1402" t="s">
        <v>1258</v>
      </c>
      <c r="O1402" t="s">
        <v>1395</v>
      </c>
      <c r="P1402" s="1" t="s">
        <v>515</v>
      </c>
      <c r="Q1402" s="13" t="s">
        <v>25</v>
      </c>
      <c r="R1402">
        <v>3</v>
      </c>
      <c r="S1402">
        <v>5000</v>
      </c>
      <c r="T1402"/>
      <c r="U1402" s="9"/>
      <c r="V1402" s="9"/>
      <c r="W1402" s="9"/>
      <c r="X1402" s="9"/>
    </row>
    <row r="1403" spans="1:24">
      <c r="A1403" s="13" t="s">
        <v>19</v>
      </c>
      <c r="B1403" s="1"/>
      <c r="C1403" s="1" t="s">
        <v>32</v>
      </c>
      <c r="D1403" s="3">
        <v>5000</v>
      </c>
      <c r="E1403"/>
      <c r="F1403"/>
      <c r="G1403"/>
      <c r="H1403"/>
      <c r="I1403"/>
      <c r="J1403"/>
      <c r="K1403"/>
      <c r="L1403"/>
      <c r="M1403" s="18" t="s">
        <v>421</v>
      </c>
      <c r="N1403" t="s">
        <v>1258</v>
      </c>
      <c r="O1403" t="s">
        <v>1395</v>
      </c>
      <c r="P1403" s="1" t="s">
        <v>515</v>
      </c>
      <c r="Q1403" s="13" t="s">
        <v>25</v>
      </c>
      <c r="R1403">
        <v>1</v>
      </c>
      <c r="S1403">
        <v>5000</v>
      </c>
      <c r="T1403"/>
      <c r="U1403" s="9"/>
      <c r="V1403" s="9"/>
      <c r="W1403" s="9"/>
      <c r="X1403" s="9"/>
    </row>
    <row r="1404" spans="1:24">
      <c r="A1404" s="13" t="s">
        <v>19</v>
      </c>
      <c r="B1404" s="1"/>
      <c r="C1404" s="1" t="s">
        <v>32</v>
      </c>
      <c r="D1404" s="3">
        <v>35000</v>
      </c>
      <c r="E1404"/>
      <c r="F1404"/>
      <c r="G1404"/>
      <c r="H1404"/>
      <c r="I1404"/>
      <c r="J1404"/>
      <c r="K1404"/>
      <c r="L1404"/>
      <c r="M1404" s="18" t="s">
        <v>421</v>
      </c>
      <c r="N1404" t="s">
        <v>1258</v>
      </c>
      <c r="O1404" t="s">
        <v>1395</v>
      </c>
      <c r="P1404" s="1" t="s">
        <v>515</v>
      </c>
      <c r="Q1404" s="13" t="s">
        <v>25</v>
      </c>
      <c r="R1404">
        <v>7</v>
      </c>
      <c r="S1404">
        <v>5000</v>
      </c>
      <c r="T1404"/>
      <c r="U1404" s="9"/>
      <c r="V1404" s="9"/>
      <c r="W1404" s="9"/>
      <c r="X1404" s="9"/>
    </row>
    <row r="1405" spans="1:24">
      <c r="A1405" s="13" t="s">
        <v>19</v>
      </c>
      <c r="B1405" s="1"/>
      <c r="C1405" s="1" t="s">
        <v>32</v>
      </c>
      <c r="D1405" s="3">
        <v>5000</v>
      </c>
      <c r="E1405"/>
      <c r="F1405"/>
      <c r="G1405"/>
      <c r="H1405"/>
      <c r="I1405"/>
      <c r="J1405"/>
      <c r="K1405"/>
      <c r="L1405"/>
      <c r="M1405" s="18" t="s">
        <v>421</v>
      </c>
      <c r="N1405" t="s">
        <v>1258</v>
      </c>
      <c r="O1405" t="s">
        <v>1395</v>
      </c>
      <c r="P1405" s="1" t="s">
        <v>922</v>
      </c>
      <c r="Q1405" s="13" t="s">
        <v>25</v>
      </c>
      <c r="R1405">
        <v>1</v>
      </c>
      <c r="S1405">
        <v>5000</v>
      </c>
      <c r="T1405"/>
      <c r="U1405" s="9"/>
      <c r="V1405" s="9"/>
      <c r="W1405" s="9"/>
      <c r="X1405" s="9"/>
    </row>
    <row r="1406" spans="1:24">
      <c r="A1406" s="13" t="s">
        <v>19</v>
      </c>
      <c r="B1406" s="1"/>
      <c r="C1406" s="1" t="s">
        <v>32</v>
      </c>
      <c r="D1406" s="3">
        <v>5000</v>
      </c>
      <c r="E1406"/>
      <c r="F1406"/>
      <c r="G1406"/>
      <c r="H1406"/>
      <c r="I1406"/>
      <c r="J1406"/>
      <c r="K1406"/>
      <c r="L1406"/>
      <c r="M1406" s="18" t="s">
        <v>421</v>
      </c>
      <c r="N1406" t="s">
        <v>1258</v>
      </c>
      <c r="O1406" t="s">
        <v>1395</v>
      </c>
      <c r="P1406" s="1" t="s">
        <v>627</v>
      </c>
      <c r="Q1406" s="13" t="s">
        <v>25</v>
      </c>
      <c r="R1406">
        <v>1</v>
      </c>
      <c r="S1406">
        <v>5000</v>
      </c>
      <c r="T1406"/>
      <c r="U1406" s="9"/>
      <c r="V1406" s="9"/>
      <c r="W1406" s="9"/>
      <c r="X1406" s="9"/>
    </row>
    <row r="1407" spans="1:24">
      <c r="A1407" s="13" t="s">
        <v>19</v>
      </c>
      <c r="B1407" s="1"/>
      <c r="C1407" s="1" t="s">
        <v>32</v>
      </c>
      <c r="D1407" s="3">
        <v>5000</v>
      </c>
      <c r="E1407"/>
      <c r="F1407"/>
      <c r="G1407"/>
      <c r="H1407"/>
      <c r="I1407"/>
      <c r="J1407"/>
      <c r="K1407"/>
      <c r="L1407"/>
      <c r="M1407" s="18" t="s">
        <v>421</v>
      </c>
      <c r="N1407" t="s">
        <v>1258</v>
      </c>
      <c r="O1407" t="s">
        <v>1395</v>
      </c>
      <c r="P1407" s="1" t="s">
        <v>880</v>
      </c>
      <c r="Q1407" s="13" t="s">
        <v>25</v>
      </c>
      <c r="R1407">
        <v>1</v>
      </c>
      <c r="S1407">
        <v>5000</v>
      </c>
      <c r="T1407"/>
      <c r="U1407" s="9"/>
      <c r="V1407" s="9"/>
      <c r="W1407" s="9"/>
      <c r="X1407" s="9"/>
    </row>
    <row r="1408" spans="1:24">
      <c r="A1408" s="13" t="s">
        <v>19</v>
      </c>
      <c r="B1408" s="1"/>
      <c r="C1408" s="1" t="s">
        <v>32</v>
      </c>
      <c r="D1408" s="3">
        <v>5000</v>
      </c>
      <c r="E1408"/>
      <c r="F1408"/>
      <c r="G1408"/>
      <c r="H1408"/>
      <c r="I1408"/>
      <c r="J1408"/>
      <c r="K1408"/>
      <c r="L1408"/>
      <c r="M1408" s="18" t="s">
        <v>421</v>
      </c>
      <c r="N1408" t="s">
        <v>1258</v>
      </c>
      <c r="O1408" t="s">
        <v>1395</v>
      </c>
      <c r="P1408" s="1" t="s">
        <v>777</v>
      </c>
      <c r="Q1408" s="13" t="s">
        <v>25</v>
      </c>
      <c r="R1408">
        <v>1</v>
      </c>
      <c r="S1408">
        <v>5000</v>
      </c>
      <c r="T1408"/>
      <c r="U1408" s="9"/>
      <c r="V1408" s="9"/>
      <c r="W1408" s="9"/>
      <c r="X1408" s="9"/>
    </row>
    <row r="1409" spans="1:24">
      <c r="A1409" s="13" t="s">
        <v>19</v>
      </c>
      <c r="B1409" s="1"/>
      <c r="C1409" s="1" t="s">
        <v>32</v>
      </c>
      <c r="D1409" s="3">
        <v>5000</v>
      </c>
      <c r="E1409"/>
      <c r="F1409"/>
      <c r="G1409"/>
      <c r="H1409"/>
      <c r="I1409"/>
      <c r="J1409"/>
      <c r="K1409"/>
      <c r="L1409"/>
      <c r="M1409" s="18" t="s">
        <v>421</v>
      </c>
      <c r="N1409" t="s">
        <v>1258</v>
      </c>
      <c r="O1409" t="s">
        <v>1395</v>
      </c>
      <c r="P1409" s="1" t="s">
        <v>877</v>
      </c>
      <c r="Q1409" s="13" t="s">
        <v>25</v>
      </c>
      <c r="R1409">
        <v>1</v>
      </c>
      <c r="S1409">
        <v>5000</v>
      </c>
      <c r="T1409"/>
      <c r="U1409" s="9"/>
      <c r="V1409" s="9"/>
      <c r="W1409" s="9"/>
      <c r="X1409" s="9"/>
    </row>
    <row r="1410" spans="1:24">
      <c r="A1410" s="13" t="s">
        <v>19</v>
      </c>
      <c r="B1410" s="1"/>
      <c r="C1410" s="1" t="s">
        <v>32</v>
      </c>
      <c r="D1410" s="3">
        <v>25000</v>
      </c>
      <c r="E1410"/>
      <c r="F1410"/>
      <c r="G1410"/>
      <c r="H1410"/>
      <c r="I1410"/>
      <c r="J1410"/>
      <c r="K1410"/>
      <c r="L1410"/>
      <c r="M1410" s="18" t="s">
        <v>421</v>
      </c>
      <c r="N1410" t="s">
        <v>1258</v>
      </c>
      <c r="O1410" t="s">
        <v>1395</v>
      </c>
      <c r="P1410" s="1" t="s">
        <v>710</v>
      </c>
      <c r="Q1410" s="13" t="s">
        <v>25</v>
      </c>
      <c r="R1410">
        <v>5</v>
      </c>
      <c r="S1410">
        <v>5000</v>
      </c>
      <c r="T1410"/>
      <c r="U1410" s="9"/>
      <c r="V1410" s="9"/>
      <c r="W1410" s="9"/>
      <c r="X1410" s="9"/>
    </row>
    <row r="1411" spans="1:24">
      <c r="A1411" s="13" t="s">
        <v>19</v>
      </c>
      <c r="B1411" s="1"/>
      <c r="C1411" s="1" t="s">
        <v>32</v>
      </c>
      <c r="D1411" s="3">
        <v>10000</v>
      </c>
      <c r="E1411"/>
      <c r="F1411"/>
      <c r="G1411"/>
      <c r="H1411"/>
      <c r="I1411"/>
      <c r="J1411"/>
      <c r="K1411"/>
      <c r="L1411"/>
      <c r="M1411" s="18" t="s">
        <v>421</v>
      </c>
      <c r="N1411" t="s">
        <v>1258</v>
      </c>
      <c r="O1411" t="s">
        <v>1395</v>
      </c>
      <c r="P1411" s="1" t="s">
        <v>880</v>
      </c>
      <c r="Q1411" s="13" t="s">
        <v>25</v>
      </c>
      <c r="R1411">
        <v>2</v>
      </c>
      <c r="S1411">
        <v>5000</v>
      </c>
      <c r="T1411"/>
      <c r="U1411" s="9"/>
      <c r="V1411" s="9"/>
      <c r="W1411" s="9"/>
      <c r="X1411" s="9"/>
    </row>
    <row r="1412" spans="1:24">
      <c r="A1412" s="13" t="s">
        <v>19</v>
      </c>
      <c r="B1412" s="1"/>
      <c r="C1412" s="1" t="s">
        <v>32</v>
      </c>
      <c r="D1412" s="3">
        <v>10000</v>
      </c>
      <c r="E1412"/>
      <c r="F1412"/>
      <c r="G1412"/>
      <c r="H1412"/>
      <c r="I1412"/>
      <c r="J1412"/>
      <c r="K1412"/>
      <c r="L1412"/>
      <c r="M1412" s="18" t="s">
        <v>421</v>
      </c>
      <c r="N1412" t="s">
        <v>1258</v>
      </c>
      <c r="O1412" t="s">
        <v>1395</v>
      </c>
      <c r="P1412" s="1" t="s">
        <v>601</v>
      </c>
      <c r="Q1412" s="13" t="s">
        <v>25</v>
      </c>
      <c r="R1412">
        <v>2</v>
      </c>
      <c r="S1412">
        <v>5000</v>
      </c>
      <c r="T1412"/>
      <c r="U1412" s="9"/>
      <c r="V1412" s="9"/>
      <c r="W1412" s="9"/>
      <c r="X1412" s="9"/>
    </row>
    <row r="1413" spans="1:24">
      <c r="A1413" s="13" t="s">
        <v>19</v>
      </c>
      <c r="B1413" s="1"/>
      <c r="C1413" s="1" t="s">
        <v>32</v>
      </c>
      <c r="D1413" s="3">
        <v>5000</v>
      </c>
      <c r="E1413"/>
      <c r="F1413"/>
      <c r="G1413"/>
      <c r="H1413"/>
      <c r="I1413"/>
      <c r="J1413"/>
      <c r="K1413"/>
      <c r="L1413"/>
      <c r="M1413" s="18" t="s">
        <v>421</v>
      </c>
      <c r="N1413" t="s">
        <v>1258</v>
      </c>
      <c r="O1413" t="s">
        <v>1395</v>
      </c>
      <c r="P1413" s="1" t="s">
        <v>628</v>
      </c>
      <c r="Q1413" s="13" t="s">
        <v>25</v>
      </c>
      <c r="R1413">
        <v>1</v>
      </c>
      <c r="S1413">
        <v>5000</v>
      </c>
      <c r="T1413"/>
      <c r="U1413" s="9"/>
      <c r="V1413" s="9"/>
      <c r="W1413" s="9"/>
      <c r="X1413" s="9"/>
    </row>
    <row r="1414" spans="1:24">
      <c r="A1414" s="13" t="s">
        <v>19</v>
      </c>
      <c r="B1414" s="1"/>
      <c r="C1414" s="1" t="s">
        <v>32</v>
      </c>
      <c r="D1414" s="3">
        <v>20000</v>
      </c>
      <c r="E1414"/>
      <c r="F1414"/>
      <c r="G1414"/>
      <c r="H1414"/>
      <c r="I1414"/>
      <c r="J1414"/>
      <c r="K1414"/>
      <c r="L1414"/>
      <c r="M1414" s="18" t="s">
        <v>421</v>
      </c>
      <c r="N1414" t="s">
        <v>1258</v>
      </c>
      <c r="O1414" t="s">
        <v>1395</v>
      </c>
      <c r="P1414" s="1" t="s">
        <v>804</v>
      </c>
      <c r="Q1414" s="13" t="s">
        <v>25</v>
      </c>
      <c r="R1414">
        <v>4</v>
      </c>
      <c r="S1414">
        <v>5000</v>
      </c>
      <c r="T1414"/>
      <c r="U1414" s="9"/>
      <c r="V1414" s="9"/>
      <c r="W1414" s="9"/>
      <c r="X1414" s="9"/>
    </row>
    <row r="1415" spans="1:24">
      <c r="A1415" s="13" t="s">
        <v>19</v>
      </c>
      <c r="B1415" s="1"/>
      <c r="C1415" s="1" t="s">
        <v>32</v>
      </c>
      <c r="D1415" s="3">
        <v>10000</v>
      </c>
      <c r="E1415"/>
      <c r="F1415"/>
      <c r="G1415"/>
      <c r="H1415"/>
      <c r="I1415"/>
      <c r="J1415"/>
      <c r="K1415"/>
      <c r="L1415"/>
      <c r="M1415" s="18" t="s">
        <v>421</v>
      </c>
      <c r="N1415" t="s">
        <v>1258</v>
      </c>
      <c r="O1415" t="s">
        <v>1395</v>
      </c>
      <c r="P1415" s="1" t="s">
        <v>923</v>
      </c>
      <c r="Q1415" s="13" t="s">
        <v>25</v>
      </c>
      <c r="R1415">
        <v>2</v>
      </c>
      <c r="S1415">
        <v>5000</v>
      </c>
      <c r="T1415"/>
      <c r="U1415" s="9"/>
      <c r="V1415" s="9"/>
      <c r="W1415" s="9"/>
      <c r="X1415" s="9"/>
    </row>
    <row r="1416" spans="1:24">
      <c r="A1416" s="13" t="s">
        <v>19</v>
      </c>
      <c r="B1416" s="1"/>
      <c r="C1416" s="1" t="s">
        <v>32</v>
      </c>
      <c r="D1416" s="3">
        <v>5000</v>
      </c>
      <c r="E1416"/>
      <c r="F1416"/>
      <c r="G1416"/>
      <c r="H1416"/>
      <c r="I1416"/>
      <c r="J1416"/>
      <c r="K1416"/>
      <c r="L1416"/>
      <c r="M1416" s="18" t="s">
        <v>421</v>
      </c>
      <c r="N1416" t="s">
        <v>1258</v>
      </c>
      <c r="O1416" t="s">
        <v>1395</v>
      </c>
      <c r="P1416" s="1" t="s">
        <v>629</v>
      </c>
      <c r="Q1416" s="13" t="s">
        <v>25</v>
      </c>
      <c r="R1416">
        <v>1</v>
      </c>
      <c r="S1416">
        <v>5000</v>
      </c>
      <c r="T1416"/>
      <c r="U1416" s="9"/>
      <c r="V1416" s="9"/>
      <c r="W1416" s="9"/>
      <c r="X1416" s="9"/>
    </row>
    <row r="1417" spans="1:24">
      <c r="A1417" s="13"/>
      <c r="B1417" s="1"/>
      <c r="C1417" s="1"/>
      <c r="D1417" s="3" t="str">
        <f>SUBTOTAL(9,D1381:D1416)</f>
        <v>0</v>
      </c>
      <c r="E1417"/>
      <c r="F1417"/>
      <c r="G1417"/>
      <c r="H1417"/>
      <c r="I1417"/>
      <c r="J1417"/>
      <c r="K1417"/>
      <c r="L1417"/>
      <c r="M1417" s="18" t="s">
        <v>422</v>
      </c>
      <c r="N1417" t="s">
        <v>1556</v>
      </c>
      <c r="O1417" t="s">
        <v>1395</v>
      </c>
      <c r="P1417" s="1"/>
      <c r="Q1417" s="13"/>
      <c r="R1417"/>
      <c r="S1417"/>
      <c r="T1417"/>
      <c r="U1417" s="9"/>
      <c r="V1417" s="9"/>
      <c r="W1417" s="9"/>
      <c r="X1417" s="9"/>
    </row>
    <row r="1418" spans="1:24">
      <c r="A1418" s="13" t="s">
        <v>19</v>
      </c>
      <c r="B1418" s="1"/>
      <c r="C1418" s="1" t="s">
        <v>20</v>
      </c>
      <c r="D1418" s="3">
        <v>96000</v>
      </c>
      <c r="E1418"/>
      <c r="F1418"/>
      <c r="G1418"/>
      <c r="H1418"/>
      <c r="I1418"/>
      <c r="J1418"/>
      <c r="K1418"/>
      <c r="L1418"/>
      <c r="M1418" s="18" t="s">
        <v>423</v>
      </c>
      <c r="N1418" t="s">
        <v>1167</v>
      </c>
      <c r="O1418" t="s">
        <v>1395</v>
      </c>
      <c r="P1418" s="1" t="s">
        <v>24</v>
      </c>
      <c r="Q1418" s="13" t="s">
        <v>25</v>
      </c>
      <c r="R1418">
        <v>3</v>
      </c>
      <c r="S1418">
        <v>32000</v>
      </c>
      <c r="T1418"/>
      <c r="U1418" s="9"/>
      <c r="V1418" s="9"/>
      <c r="W1418" s="9"/>
      <c r="X1418" s="9"/>
    </row>
    <row r="1419" spans="1:24">
      <c r="A1419" s="13" t="s">
        <v>19</v>
      </c>
      <c r="B1419" s="1"/>
      <c r="C1419" s="1" t="s">
        <v>20</v>
      </c>
      <c r="D1419" s="3">
        <v>64000</v>
      </c>
      <c r="E1419"/>
      <c r="F1419"/>
      <c r="G1419"/>
      <c r="H1419"/>
      <c r="I1419"/>
      <c r="J1419"/>
      <c r="K1419"/>
      <c r="L1419"/>
      <c r="M1419" s="18" t="s">
        <v>423</v>
      </c>
      <c r="N1419" t="s">
        <v>1167</v>
      </c>
      <c r="O1419" t="s">
        <v>1395</v>
      </c>
      <c r="P1419" s="1" t="s">
        <v>24</v>
      </c>
      <c r="Q1419" s="13" t="s">
        <v>25</v>
      </c>
      <c r="R1419">
        <v>2</v>
      </c>
      <c r="S1419">
        <v>32000</v>
      </c>
      <c r="T1419"/>
      <c r="U1419" s="9"/>
      <c r="V1419" s="9"/>
      <c r="W1419" s="9"/>
      <c r="X1419" s="9"/>
    </row>
    <row r="1420" spans="1:24">
      <c r="A1420" s="13" t="s">
        <v>19</v>
      </c>
      <c r="B1420" s="1"/>
      <c r="C1420" s="1" t="s">
        <v>29</v>
      </c>
      <c r="D1420" s="3">
        <v>15000</v>
      </c>
      <c r="E1420"/>
      <c r="F1420"/>
      <c r="G1420"/>
      <c r="H1420"/>
      <c r="I1420"/>
      <c r="J1420"/>
      <c r="K1420"/>
      <c r="L1420"/>
      <c r="M1420" s="18" t="s">
        <v>423</v>
      </c>
      <c r="N1420" t="s">
        <v>1167</v>
      </c>
      <c r="O1420" t="s">
        <v>1395</v>
      </c>
      <c r="P1420" s="1" t="s">
        <v>30</v>
      </c>
      <c r="Q1420" s="13" t="s">
        <v>25</v>
      </c>
      <c r="R1420">
        <v>3</v>
      </c>
      <c r="S1420">
        <v>5000</v>
      </c>
      <c r="T1420"/>
      <c r="U1420" s="9"/>
      <c r="V1420" s="9"/>
      <c r="W1420" s="9"/>
      <c r="X1420" s="9"/>
    </row>
    <row r="1421" spans="1:24">
      <c r="A1421" s="13" t="s">
        <v>19</v>
      </c>
      <c r="B1421" s="1"/>
      <c r="C1421" s="1" t="s">
        <v>29</v>
      </c>
      <c r="D1421" s="3">
        <v>10000</v>
      </c>
      <c r="E1421"/>
      <c r="F1421"/>
      <c r="G1421"/>
      <c r="H1421"/>
      <c r="I1421"/>
      <c r="J1421"/>
      <c r="K1421"/>
      <c r="L1421"/>
      <c r="M1421" s="18" t="s">
        <v>423</v>
      </c>
      <c r="N1421" t="s">
        <v>1167</v>
      </c>
      <c r="O1421" t="s">
        <v>1395</v>
      </c>
      <c r="P1421" s="1" t="s">
        <v>30</v>
      </c>
      <c r="Q1421" s="13" t="s">
        <v>25</v>
      </c>
      <c r="R1421">
        <v>2</v>
      </c>
      <c r="S1421">
        <v>5000</v>
      </c>
      <c r="T1421"/>
      <c r="U1421" s="9"/>
      <c r="V1421" s="9"/>
      <c r="W1421" s="9"/>
      <c r="X1421" s="9"/>
    </row>
    <row r="1422" spans="1:24">
      <c r="A1422" s="13"/>
      <c r="B1422" s="1"/>
      <c r="C1422" s="1"/>
      <c r="D1422" s="3" t="str">
        <f>SUBTOTAL(9,D1418:D1421)</f>
        <v>0</v>
      </c>
      <c r="E1422"/>
      <c r="F1422"/>
      <c r="G1422"/>
      <c r="H1422"/>
      <c r="I1422"/>
      <c r="J1422"/>
      <c r="K1422"/>
      <c r="L1422"/>
      <c r="M1422" s="18" t="s">
        <v>424</v>
      </c>
      <c r="N1422" t="s">
        <v>1557</v>
      </c>
      <c r="O1422" t="s">
        <v>1395</v>
      </c>
      <c r="P1422" s="1"/>
      <c r="Q1422" s="13"/>
      <c r="R1422"/>
      <c r="S1422"/>
      <c r="T1422"/>
      <c r="U1422" s="9"/>
      <c r="V1422" s="9"/>
      <c r="W1422" s="9"/>
      <c r="X1422" s="9"/>
    </row>
    <row r="1423" spans="1:24">
      <c r="A1423" s="13" t="s">
        <v>19</v>
      </c>
      <c r="B1423" s="1"/>
      <c r="C1423" s="1" t="s">
        <v>20</v>
      </c>
      <c r="D1423" s="3">
        <v>32000</v>
      </c>
      <c r="E1423"/>
      <c r="F1423"/>
      <c r="G1423"/>
      <c r="H1423"/>
      <c r="I1423"/>
      <c r="J1423"/>
      <c r="K1423"/>
      <c r="L1423"/>
      <c r="M1423" s="18" t="s">
        <v>425</v>
      </c>
      <c r="N1423" t="s">
        <v>1237</v>
      </c>
      <c r="O1423" t="s">
        <v>1395</v>
      </c>
      <c r="P1423" s="1" t="s">
        <v>520</v>
      </c>
      <c r="Q1423" s="13" t="s">
        <v>25</v>
      </c>
      <c r="R1423">
        <v>1</v>
      </c>
      <c r="S1423">
        <v>32000</v>
      </c>
      <c r="T1423"/>
      <c r="U1423" s="9"/>
      <c r="V1423" s="9"/>
      <c r="W1423" s="9"/>
      <c r="X1423" s="9"/>
    </row>
    <row r="1424" spans="1:24">
      <c r="A1424" s="13" t="s">
        <v>19</v>
      </c>
      <c r="B1424" s="1"/>
      <c r="C1424" s="1" t="s">
        <v>20</v>
      </c>
      <c r="D1424" s="3">
        <v>32000</v>
      </c>
      <c r="E1424"/>
      <c r="F1424"/>
      <c r="G1424"/>
      <c r="H1424"/>
      <c r="I1424"/>
      <c r="J1424"/>
      <c r="K1424"/>
      <c r="L1424"/>
      <c r="M1424" s="18" t="s">
        <v>425</v>
      </c>
      <c r="N1424" t="s">
        <v>1237</v>
      </c>
      <c r="O1424" t="s">
        <v>1395</v>
      </c>
      <c r="P1424" s="1" t="s">
        <v>724</v>
      </c>
      <c r="Q1424" s="13" t="s">
        <v>25</v>
      </c>
      <c r="R1424">
        <v>1</v>
      </c>
      <c r="S1424">
        <v>32000</v>
      </c>
      <c r="T1424"/>
      <c r="U1424" s="9"/>
      <c r="V1424" s="9"/>
      <c r="W1424" s="9"/>
      <c r="X1424" s="9"/>
    </row>
    <row r="1425" spans="1:24">
      <c r="A1425" s="13" t="s">
        <v>19</v>
      </c>
      <c r="B1425" s="1"/>
      <c r="C1425" s="1" t="s">
        <v>29</v>
      </c>
      <c r="D1425" s="3">
        <v>5000</v>
      </c>
      <c r="E1425"/>
      <c r="F1425"/>
      <c r="G1425"/>
      <c r="H1425"/>
      <c r="I1425"/>
      <c r="J1425"/>
      <c r="K1425"/>
      <c r="L1425"/>
      <c r="M1425" s="18" t="s">
        <v>425</v>
      </c>
      <c r="N1425" t="s">
        <v>1237</v>
      </c>
      <c r="O1425" t="s">
        <v>1395</v>
      </c>
      <c r="P1425" s="1" t="s">
        <v>522</v>
      </c>
      <c r="Q1425" s="13" t="s">
        <v>25</v>
      </c>
      <c r="R1425">
        <v>1</v>
      </c>
      <c r="S1425">
        <v>5000</v>
      </c>
      <c r="T1425"/>
      <c r="U1425" s="9"/>
      <c r="V1425" s="9"/>
      <c r="W1425" s="9"/>
      <c r="X1425" s="9"/>
    </row>
    <row r="1426" spans="1:24">
      <c r="A1426" s="13" t="s">
        <v>19</v>
      </c>
      <c r="B1426" s="1"/>
      <c r="C1426" s="1" t="s">
        <v>29</v>
      </c>
      <c r="D1426" s="3">
        <v>5000</v>
      </c>
      <c r="E1426"/>
      <c r="F1426"/>
      <c r="G1426"/>
      <c r="H1426"/>
      <c r="I1426"/>
      <c r="J1426"/>
      <c r="K1426"/>
      <c r="L1426"/>
      <c r="M1426" s="18" t="s">
        <v>425</v>
      </c>
      <c r="N1426" t="s">
        <v>1237</v>
      </c>
      <c r="O1426" t="s">
        <v>1395</v>
      </c>
      <c r="P1426" s="1" t="s">
        <v>726</v>
      </c>
      <c r="Q1426" s="13" t="s">
        <v>25</v>
      </c>
      <c r="R1426">
        <v>1</v>
      </c>
      <c r="S1426">
        <v>5000</v>
      </c>
      <c r="T1426"/>
      <c r="U1426" s="9"/>
      <c r="V1426" s="9"/>
      <c r="W1426" s="9"/>
      <c r="X1426" s="9"/>
    </row>
    <row r="1427" spans="1:24">
      <c r="A1427" s="13"/>
      <c r="B1427" s="1"/>
      <c r="C1427" s="1"/>
      <c r="D1427" s="3" t="str">
        <f>SUBTOTAL(9,D1423:D1426)</f>
        <v>0</v>
      </c>
      <c r="E1427"/>
      <c r="F1427"/>
      <c r="G1427"/>
      <c r="H1427"/>
      <c r="I1427"/>
      <c r="J1427"/>
      <c r="K1427"/>
      <c r="L1427"/>
      <c r="M1427" s="18" t="s">
        <v>426</v>
      </c>
      <c r="N1427" t="s">
        <v>1558</v>
      </c>
      <c r="O1427" t="s">
        <v>1395</v>
      </c>
      <c r="P1427" s="1"/>
      <c r="Q1427" s="13"/>
      <c r="R1427"/>
      <c r="S1427"/>
      <c r="T1427"/>
      <c r="U1427" s="9"/>
      <c r="V1427" s="9"/>
      <c r="W1427" s="9"/>
      <c r="X1427" s="9"/>
    </row>
    <row r="1428" spans="1:24">
      <c r="A1428" s="13" t="s">
        <v>19</v>
      </c>
      <c r="B1428" s="1"/>
      <c r="C1428" s="1" t="s">
        <v>26</v>
      </c>
      <c r="D1428" s="3">
        <v>32000</v>
      </c>
      <c r="E1428"/>
      <c r="F1428"/>
      <c r="G1428"/>
      <c r="H1428"/>
      <c r="I1428"/>
      <c r="J1428"/>
      <c r="K1428"/>
      <c r="L1428"/>
      <c r="M1428" s="18" t="s">
        <v>427</v>
      </c>
      <c r="N1428" t="s">
        <v>1387</v>
      </c>
      <c r="O1428"/>
      <c r="P1428" s="1" t="s">
        <v>924</v>
      </c>
      <c r="Q1428" s="13" t="s">
        <v>25</v>
      </c>
      <c r="R1428">
        <v>1</v>
      </c>
      <c r="S1428">
        <v>32000</v>
      </c>
      <c r="T1428"/>
      <c r="U1428" s="9"/>
      <c r="V1428" s="9"/>
      <c r="W1428" s="9"/>
      <c r="X1428" s="9"/>
    </row>
    <row r="1429" spans="1:24">
      <c r="A1429" s="13" t="s">
        <v>19</v>
      </c>
      <c r="B1429" s="1"/>
      <c r="C1429" s="1" t="s">
        <v>32</v>
      </c>
      <c r="D1429" s="3">
        <v>5000</v>
      </c>
      <c r="E1429"/>
      <c r="F1429"/>
      <c r="G1429"/>
      <c r="H1429"/>
      <c r="I1429"/>
      <c r="J1429"/>
      <c r="K1429"/>
      <c r="L1429"/>
      <c r="M1429" s="18" t="s">
        <v>427</v>
      </c>
      <c r="N1429" t="s">
        <v>1387</v>
      </c>
      <c r="O1429"/>
      <c r="P1429" s="1" t="s">
        <v>925</v>
      </c>
      <c r="Q1429" s="13" t="s">
        <v>25</v>
      </c>
      <c r="R1429">
        <v>1</v>
      </c>
      <c r="S1429">
        <v>5000</v>
      </c>
      <c r="T1429"/>
      <c r="U1429" s="9"/>
      <c r="V1429" s="9"/>
      <c r="W1429" s="9"/>
      <c r="X1429" s="9"/>
    </row>
    <row r="1430" spans="1:24">
      <c r="A1430" s="13"/>
      <c r="B1430" s="1"/>
      <c r="C1430" s="1"/>
      <c r="D1430" s="3" t="str">
        <f>SUBTOTAL(9,D1428:D1429)</f>
        <v>0</v>
      </c>
      <c r="E1430"/>
      <c r="F1430"/>
      <c r="G1430"/>
      <c r="H1430"/>
      <c r="I1430"/>
      <c r="J1430"/>
      <c r="K1430"/>
      <c r="L1430"/>
      <c r="M1430" s="18" t="s">
        <v>428</v>
      </c>
      <c r="N1430" t="s">
        <v>1559</v>
      </c>
      <c r="O1430"/>
      <c r="P1430" s="1"/>
      <c r="Q1430" s="13"/>
      <c r="R1430"/>
      <c r="S1430"/>
      <c r="T1430"/>
      <c r="U1430" s="9"/>
      <c r="V1430" s="9"/>
      <c r="W1430" s="9"/>
      <c r="X1430" s="9"/>
    </row>
    <row r="1431" spans="1:24">
      <c r="A1431" s="13" t="s">
        <v>19</v>
      </c>
      <c r="B1431" s="1"/>
      <c r="C1431" s="1" t="s">
        <v>20</v>
      </c>
      <c r="D1431" s="3">
        <v>224000</v>
      </c>
      <c r="E1431"/>
      <c r="F1431"/>
      <c r="G1431"/>
      <c r="H1431"/>
      <c r="I1431"/>
      <c r="J1431"/>
      <c r="K1431"/>
      <c r="L1431"/>
      <c r="M1431" s="18" t="s">
        <v>429</v>
      </c>
      <c r="N1431" t="s">
        <v>1361</v>
      </c>
      <c r="O1431" t="s">
        <v>1395</v>
      </c>
      <c r="P1431" s="1" t="s">
        <v>24</v>
      </c>
      <c r="Q1431" s="13" t="s">
        <v>1018</v>
      </c>
      <c r="R1431">
        <v>7</v>
      </c>
      <c r="S1431">
        <v>32000</v>
      </c>
      <c r="T1431"/>
      <c r="U1431" s="9"/>
      <c r="V1431" s="9"/>
      <c r="W1431" s="9"/>
      <c r="X1431" s="9"/>
    </row>
    <row r="1432" spans="1:24">
      <c r="A1432" s="13" t="s">
        <v>19</v>
      </c>
      <c r="B1432" s="1"/>
      <c r="C1432" s="1" t="s">
        <v>20</v>
      </c>
      <c r="D1432" s="3">
        <v>160000</v>
      </c>
      <c r="E1432"/>
      <c r="F1432"/>
      <c r="G1432"/>
      <c r="H1432"/>
      <c r="I1432"/>
      <c r="J1432"/>
      <c r="K1432"/>
      <c r="L1432"/>
      <c r="M1432" s="18" t="s">
        <v>429</v>
      </c>
      <c r="N1432" t="s">
        <v>1361</v>
      </c>
      <c r="O1432" t="s">
        <v>1395</v>
      </c>
      <c r="P1432" s="1" t="s">
        <v>24</v>
      </c>
      <c r="Q1432" s="13" t="s">
        <v>1018</v>
      </c>
      <c r="R1432">
        <v>5</v>
      </c>
      <c r="S1432">
        <v>32000</v>
      </c>
      <c r="T1432"/>
      <c r="U1432" s="9"/>
      <c r="V1432" s="9"/>
      <c r="W1432" s="9"/>
      <c r="X1432" s="9"/>
    </row>
    <row r="1433" spans="1:24">
      <c r="A1433" s="13" t="s">
        <v>19</v>
      </c>
      <c r="B1433" s="1"/>
      <c r="C1433" s="1" t="s">
        <v>20</v>
      </c>
      <c r="D1433" s="3">
        <v>128000</v>
      </c>
      <c r="E1433"/>
      <c r="F1433"/>
      <c r="G1433"/>
      <c r="H1433"/>
      <c r="I1433"/>
      <c r="J1433"/>
      <c r="K1433"/>
      <c r="L1433"/>
      <c r="M1433" s="18" t="s">
        <v>429</v>
      </c>
      <c r="N1433" t="s">
        <v>1361</v>
      </c>
      <c r="O1433" t="s">
        <v>1395</v>
      </c>
      <c r="P1433" s="1" t="s">
        <v>24</v>
      </c>
      <c r="Q1433" s="13" t="s">
        <v>1018</v>
      </c>
      <c r="R1433">
        <v>4</v>
      </c>
      <c r="S1433">
        <v>32000</v>
      </c>
      <c r="T1433"/>
      <c r="U1433" s="9"/>
      <c r="V1433" s="9"/>
      <c r="W1433" s="9"/>
      <c r="X1433" s="9"/>
    </row>
    <row r="1434" spans="1:24">
      <c r="A1434" s="13" t="s">
        <v>19</v>
      </c>
      <c r="B1434" s="1"/>
      <c r="C1434" s="1" t="s">
        <v>20</v>
      </c>
      <c r="D1434" s="3">
        <v>128000</v>
      </c>
      <c r="E1434"/>
      <c r="F1434"/>
      <c r="G1434"/>
      <c r="H1434"/>
      <c r="I1434"/>
      <c r="J1434"/>
      <c r="K1434"/>
      <c r="L1434"/>
      <c r="M1434" s="18" t="s">
        <v>429</v>
      </c>
      <c r="N1434" t="s">
        <v>1361</v>
      </c>
      <c r="O1434" t="s">
        <v>1395</v>
      </c>
      <c r="P1434" s="1" t="s">
        <v>926</v>
      </c>
      <c r="Q1434" s="13" t="s">
        <v>1018</v>
      </c>
      <c r="R1434">
        <v>4</v>
      </c>
      <c r="S1434">
        <v>32000</v>
      </c>
      <c r="T1434"/>
      <c r="U1434" s="9"/>
      <c r="V1434" s="9"/>
      <c r="W1434" s="9"/>
      <c r="X1434" s="9"/>
    </row>
    <row r="1435" spans="1:24">
      <c r="A1435" s="13" t="s">
        <v>19</v>
      </c>
      <c r="B1435" s="1"/>
      <c r="C1435" s="1" t="s">
        <v>20</v>
      </c>
      <c r="D1435" s="3">
        <v>128000</v>
      </c>
      <c r="E1435"/>
      <c r="F1435"/>
      <c r="G1435"/>
      <c r="H1435"/>
      <c r="I1435"/>
      <c r="J1435"/>
      <c r="K1435"/>
      <c r="L1435"/>
      <c r="M1435" s="18" t="s">
        <v>429</v>
      </c>
      <c r="N1435" t="s">
        <v>1361</v>
      </c>
      <c r="O1435" t="s">
        <v>1395</v>
      </c>
      <c r="P1435" s="1" t="s">
        <v>24</v>
      </c>
      <c r="Q1435" s="13" t="s">
        <v>1018</v>
      </c>
      <c r="R1435">
        <v>4</v>
      </c>
      <c r="S1435">
        <v>32000</v>
      </c>
      <c r="T1435"/>
      <c r="U1435" s="9"/>
      <c r="V1435" s="9"/>
      <c r="W1435" s="9"/>
      <c r="X1435" s="9"/>
    </row>
    <row r="1436" spans="1:24">
      <c r="A1436" s="13" t="s">
        <v>19</v>
      </c>
      <c r="B1436" s="1"/>
      <c r="C1436" s="1" t="s">
        <v>26</v>
      </c>
      <c r="D1436" s="3">
        <v>37000</v>
      </c>
      <c r="E1436"/>
      <c r="F1436"/>
      <c r="G1436"/>
      <c r="H1436"/>
      <c r="I1436"/>
      <c r="J1436"/>
      <c r="K1436"/>
      <c r="L1436"/>
      <c r="M1436" s="18" t="s">
        <v>429</v>
      </c>
      <c r="N1436" t="s">
        <v>1361</v>
      </c>
      <c r="O1436" t="s">
        <v>1395</v>
      </c>
      <c r="P1436" s="1" t="s">
        <v>716</v>
      </c>
      <c r="Q1436" s="13" t="s">
        <v>1018</v>
      </c>
      <c r="R1436">
        <v>1</v>
      </c>
      <c r="S1436">
        <v>37000</v>
      </c>
      <c r="T1436"/>
      <c r="U1436" s="9"/>
      <c r="V1436" s="9"/>
      <c r="W1436" s="9"/>
      <c r="X1436" s="9"/>
    </row>
    <row r="1437" spans="1:24">
      <c r="A1437" s="13" t="s">
        <v>19</v>
      </c>
      <c r="B1437" s="1"/>
      <c r="C1437" s="1" t="s">
        <v>29</v>
      </c>
      <c r="D1437" s="3">
        <v>35000</v>
      </c>
      <c r="E1437"/>
      <c r="F1437"/>
      <c r="G1437"/>
      <c r="H1437"/>
      <c r="I1437"/>
      <c r="J1437"/>
      <c r="K1437"/>
      <c r="L1437"/>
      <c r="M1437" s="18" t="s">
        <v>429</v>
      </c>
      <c r="N1437" t="s">
        <v>1361</v>
      </c>
      <c r="O1437" t="s">
        <v>1395</v>
      </c>
      <c r="P1437" s="1" t="s">
        <v>30</v>
      </c>
      <c r="Q1437" s="13" t="s">
        <v>1018</v>
      </c>
      <c r="R1437">
        <v>7</v>
      </c>
      <c r="S1437">
        <v>5000</v>
      </c>
      <c r="T1437"/>
      <c r="U1437" s="9"/>
      <c r="V1437" s="9"/>
      <c r="W1437" s="9"/>
      <c r="X1437" s="9"/>
    </row>
    <row r="1438" spans="1:24">
      <c r="A1438" s="13" t="s">
        <v>19</v>
      </c>
      <c r="B1438" s="1"/>
      <c r="C1438" s="1" t="s">
        <v>29</v>
      </c>
      <c r="D1438" s="3">
        <v>25000</v>
      </c>
      <c r="E1438"/>
      <c r="F1438"/>
      <c r="G1438"/>
      <c r="H1438"/>
      <c r="I1438"/>
      <c r="J1438"/>
      <c r="K1438"/>
      <c r="L1438"/>
      <c r="M1438" s="18" t="s">
        <v>429</v>
      </c>
      <c r="N1438" t="s">
        <v>1361</v>
      </c>
      <c r="O1438" t="s">
        <v>1395</v>
      </c>
      <c r="P1438" s="1" t="s">
        <v>30</v>
      </c>
      <c r="Q1438" s="13" t="s">
        <v>1018</v>
      </c>
      <c r="R1438">
        <v>5</v>
      </c>
      <c r="S1438">
        <v>5000</v>
      </c>
      <c r="T1438"/>
      <c r="U1438" s="9"/>
      <c r="V1438" s="9"/>
      <c r="W1438" s="9"/>
      <c r="X1438" s="9"/>
    </row>
    <row r="1439" spans="1:24">
      <c r="A1439" s="13" t="s">
        <v>19</v>
      </c>
      <c r="B1439" s="1"/>
      <c r="C1439" s="1" t="s">
        <v>29</v>
      </c>
      <c r="D1439" s="3">
        <v>20000</v>
      </c>
      <c r="E1439"/>
      <c r="F1439"/>
      <c r="G1439"/>
      <c r="H1439"/>
      <c r="I1439"/>
      <c r="J1439"/>
      <c r="K1439"/>
      <c r="L1439"/>
      <c r="M1439" s="18" t="s">
        <v>429</v>
      </c>
      <c r="N1439" t="s">
        <v>1361</v>
      </c>
      <c r="O1439" t="s">
        <v>1395</v>
      </c>
      <c r="P1439" s="1" t="s">
        <v>30</v>
      </c>
      <c r="Q1439" s="13" t="s">
        <v>1018</v>
      </c>
      <c r="R1439">
        <v>4</v>
      </c>
      <c r="S1439">
        <v>5000</v>
      </c>
      <c r="T1439"/>
      <c r="U1439" s="9"/>
      <c r="V1439" s="9"/>
      <c r="W1439" s="9"/>
      <c r="X1439" s="9"/>
    </row>
    <row r="1440" spans="1:24">
      <c r="A1440" s="13" t="s">
        <v>19</v>
      </c>
      <c r="B1440" s="1"/>
      <c r="C1440" s="1" t="s">
        <v>29</v>
      </c>
      <c r="D1440" s="3">
        <v>20000</v>
      </c>
      <c r="E1440"/>
      <c r="F1440"/>
      <c r="G1440"/>
      <c r="H1440"/>
      <c r="I1440"/>
      <c r="J1440"/>
      <c r="K1440"/>
      <c r="L1440"/>
      <c r="M1440" s="18" t="s">
        <v>429</v>
      </c>
      <c r="N1440" t="s">
        <v>1361</v>
      </c>
      <c r="O1440" t="s">
        <v>1395</v>
      </c>
      <c r="P1440" s="1" t="s">
        <v>927</v>
      </c>
      <c r="Q1440" s="13" t="s">
        <v>1018</v>
      </c>
      <c r="R1440">
        <v>4</v>
      </c>
      <c r="S1440">
        <v>5000</v>
      </c>
      <c r="T1440"/>
      <c r="U1440" s="9"/>
      <c r="V1440" s="9"/>
      <c r="W1440" s="9"/>
      <c r="X1440" s="9"/>
    </row>
    <row r="1441" spans="1:24">
      <c r="A1441" s="13" t="s">
        <v>19</v>
      </c>
      <c r="B1441" s="1"/>
      <c r="C1441" s="1" t="s">
        <v>29</v>
      </c>
      <c r="D1441" s="3">
        <v>20000</v>
      </c>
      <c r="E1441"/>
      <c r="F1441"/>
      <c r="G1441"/>
      <c r="H1441"/>
      <c r="I1441"/>
      <c r="J1441"/>
      <c r="K1441"/>
      <c r="L1441"/>
      <c r="M1441" s="18" t="s">
        <v>429</v>
      </c>
      <c r="N1441" t="s">
        <v>1361</v>
      </c>
      <c r="O1441" t="s">
        <v>1395</v>
      </c>
      <c r="P1441" s="1" t="s">
        <v>30</v>
      </c>
      <c r="Q1441" s="13" t="s">
        <v>1018</v>
      </c>
      <c r="R1441">
        <v>4</v>
      </c>
      <c r="S1441">
        <v>5000</v>
      </c>
      <c r="T1441"/>
      <c r="U1441" s="9"/>
      <c r="V1441" s="9"/>
      <c r="W1441" s="9"/>
      <c r="X1441" s="9"/>
    </row>
    <row r="1442" spans="1:24">
      <c r="A1442" s="13" t="s">
        <v>19</v>
      </c>
      <c r="B1442" s="1"/>
      <c r="C1442" s="1" t="s">
        <v>32</v>
      </c>
      <c r="D1442" s="3">
        <v>5000</v>
      </c>
      <c r="E1442"/>
      <c r="F1442"/>
      <c r="G1442"/>
      <c r="H1442"/>
      <c r="I1442"/>
      <c r="J1442"/>
      <c r="K1442"/>
      <c r="L1442"/>
      <c r="M1442" s="18" t="s">
        <v>429</v>
      </c>
      <c r="N1442" t="s">
        <v>1361</v>
      </c>
      <c r="O1442" t="s">
        <v>1395</v>
      </c>
      <c r="P1442" s="1" t="s">
        <v>719</v>
      </c>
      <c r="Q1442" s="13" t="s">
        <v>1018</v>
      </c>
      <c r="R1442">
        <v>1</v>
      </c>
      <c r="S1442">
        <v>5000</v>
      </c>
      <c r="T1442"/>
      <c r="U1442" s="9"/>
      <c r="V1442" s="9"/>
      <c r="W1442" s="9"/>
      <c r="X1442" s="9"/>
    </row>
    <row r="1443" spans="1:24">
      <c r="A1443" s="13"/>
      <c r="B1443" s="1"/>
      <c r="C1443" s="1"/>
      <c r="D1443" s="3" t="str">
        <f>SUBTOTAL(9,D1431:D1442)</f>
        <v>0</v>
      </c>
      <c r="E1443"/>
      <c r="F1443"/>
      <c r="G1443"/>
      <c r="H1443"/>
      <c r="I1443"/>
      <c r="J1443"/>
      <c r="K1443"/>
      <c r="L1443"/>
      <c r="M1443" s="18" t="s">
        <v>430</v>
      </c>
      <c r="N1443" t="s">
        <v>1560</v>
      </c>
      <c r="O1443" t="s">
        <v>1395</v>
      </c>
      <c r="P1443" s="1"/>
      <c r="Q1443" s="13"/>
      <c r="R1443"/>
      <c r="S1443"/>
      <c r="T1443"/>
      <c r="U1443" s="9"/>
      <c r="V1443" s="9"/>
      <c r="W1443" s="9"/>
      <c r="X1443" s="9"/>
    </row>
    <row r="1444" spans="1:24">
      <c r="A1444" s="13" t="s">
        <v>19</v>
      </c>
      <c r="B1444" s="1"/>
      <c r="C1444" s="1" t="s">
        <v>20</v>
      </c>
      <c r="D1444" s="3">
        <v>90000</v>
      </c>
      <c r="E1444"/>
      <c r="F1444"/>
      <c r="G1444"/>
      <c r="H1444"/>
      <c r="I1444"/>
      <c r="J1444"/>
      <c r="K1444"/>
      <c r="L1444"/>
      <c r="M1444" s="18" t="s">
        <v>431</v>
      </c>
      <c r="N1444" t="s">
        <v>1364</v>
      </c>
      <c r="O1444" t="s">
        <v>1395</v>
      </c>
      <c r="P1444" s="1" t="s">
        <v>928</v>
      </c>
      <c r="Q1444" s="13" t="s">
        <v>25</v>
      </c>
      <c r="R1444">
        <v>3</v>
      </c>
      <c r="S1444">
        <v>30000</v>
      </c>
      <c r="T1444"/>
      <c r="U1444" s="9"/>
      <c r="V1444" s="9"/>
      <c r="W1444" s="9"/>
      <c r="X1444" s="9"/>
    </row>
    <row r="1445" spans="1:24">
      <c r="A1445" s="13" t="s">
        <v>19</v>
      </c>
      <c r="B1445" s="1"/>
      <c r="C1445" s="1" t="s">
        <v>20</v>
      </c>
      <c r="D1445" s="3">
        <v>90000</v>
      </c>
      <c r="E1445"/>
      <c r="F1445"/>
      <c r="G1445"/>
      <c r="H1445"/>
      <c r="I1445"/>
      <c r="J1445"/>
      <c r="K1445"/>
      <c r="L1445"/>
      <c r="M1445" s="18" t="s">
        <v>431</v>
      </c>
      <c r="N1445" t="s">
        <v>1364</v>
      </c>
      <c r="O1445" t="s">
        <v>1395</v>
      </c>
      <c r="P1445" s="1" t="s">
        <v>724</v>
      </c>
      <c r="Q1445" s="13" t="s">
        <v>25</v>
      </c>
      <c r="R1445">
        <v>3</v>
      </c>
      <c r="S1445">
        <v>30000</v>
      </c>
      <c r="T1445"/>
      <c r="U1445" s="9"/>
      <c r="V1445" s="9"/>
      <c r="W1445" s="9"/>
      <c r="X1445" s="9"/>
    </row>
    <row r="1446" spans="1:24">
      <c r="A1446" s="13" t="s">
        <v>19</v>
      </c>
      <c r="B1446" s="1"/>
      <c r="C1446" s="1" t="s">
        <v>29</v>
      </c>
      <c r="D1446" s="3">
        <v>15000</v>
      </c>
      <c r="E1446"/>
      <c r="F1446"/>
      <c r="G1446"/>
      <c r="H1446"/>
      <c r="I1446"/>
      <c r="J1446"/>
      <c r="K1446"/>
      <c r="L1446"/>
      <c r="M1446" s="18" t="s">
        <v>431</v>
      </c>
      <c r="N1446" t="s">
        <v>1364</v>
      </c>
      <c r="O1446" t="s">
        <v>1395</v>
      </c>
      <c r="P1446" s="1" t="s">
        <v>929</v>
      </c>
      <c r="Q1446" s="13" t="s">
        <v>25</v>
      </c>
      <c r="R1446">
        <v>3</v>
      </c>
      <c r="S1446">
        <v>5000</v>
      </c>
      <c r="T1446"/>
      <c r="U1446" s="9"/>
      <c r="V1446" s="9"/>
      <c r="W1446" s="9"/>
      <c r="X1446" s="9"/>
    </row>
    <row r="1447" spans="1:24">
      <c r="A1447" s="13" t="s">
        <v>19</v>
      </c>
      <c r="B1447" s="1"/>
      <c r="C1447" s="1" t="s">
        <v>29</v>
      </c>
      <c r="D1447" s="3">
        <v>15000</v>
      </c>
      <c r="E1447"/>
      <c r="F1447"/>
      <c r="G1447"/>
      <c r="H1447"/>
      <c r="I1447"/>
      <c r="J1447"/>
      <c r="K1447"/>
      <c r="L1447"/>
      <c r="M1447" s="18" t="s">
        <v>431</v>
      </c>
      <c r="N1447" t="s">
        <v>1364</v>
      </c>
      <c r="O1447" t="s">
        <v>1395</v>
      </c>
      <c r="P1447" s="1" t="s">
        <v>726</v>
      </c>
      <c r="Q1447" s="13" t="s">
        <v>25</v>
      </c>
      <c r="R1447">
        <v>3</v>
      </c>
      <c r="S1447">
        <v>5000</v>
      </c>
      <c r="T1447"/>
      <c r="U1447" s="9"/>
      <c r="V1447" s="9"/>
      <c r="W1447" s="9"/>
      <c r="X1447" s="9"/>
    </row>
    <row r="1448" spans="1:24">
      <c r="A1448" s="13"/>
      <c r="B1448" s="1"/>
      <c r="C1448" s="1"/>
      <c r="D1448" s="3" t="str">
        <f>SUBTOTAL(9,D1444:D1447)</f>
        <v>0</v>
      </c>
      <c r="E1448"/>
      <c r="F1448"/>
      <c r="G1448"/>
      <c r="H1448"/>
      <c r="I1448"/>
      <c r="J1448"/>
      <c r="K1448"/>
      <c r="L1448"/>
      <c r="M1448" s="18" t="s">
        <v>432</v>
      </c>
      <c r="N1448" t="s">
        <v>1561</v>
      </c>
      <c r="O1448" t="s">
        <v>1395</v>
      </c>
      <c r="P1448" s="1"/>
      <c r="Q1448" s="13"/>
      <c r="R1448"/>
      <c r="S1448"/>
      <c r="T1448"/>
      <c r="U1448" s="9"/>
      <c r="V1448" s="9"/>
      <c r="W1448" s="9"/>
      <c r="X1448" s="9"/>
    </row>
    <row r="1449" spans="1:24">
      <c r="A1449" s="13" t="s">
        <v>19</v>
      </c>
      <c r="B1449" s="1"/>
      <c r="C1449" s="1" t="s">
        <v>20</v>
      </c>
      <c r="D1449" s="3">
        <v>96000</v>
      </c>
      <c r="E1449"/>
      <c r="F1449"/>
      <c r="G1449"/>
      <c r="H1449"/>
      <c r="I1449"/>
      <c r="J1449"/>
      <c r="K1449"/>
      <c r="L1449"/>
      <c r="M1449" s="18" t="s">
        <v>433</v>
      </c>
      <c r="N1449" t="s">
        <v>1324</v>
      </c>
      <c r="O1449" t="s">
        <v>96</v>
      </c>
      <c r="P1449" s="1" t="s">
        <v>24</v>
      </c>
      <c r="Q1449" s="13" t="s">
        <v>1018</v>
      </c>
      <c r="R1449">
        <v>3</v>
      </c>
      <c r="S1449">
        <v>32000</v>
      </c>
      <c r="T1449"/>
      <c r="U1449" s="9"/>
      <c r="V1449" s="9"/>
      <c r="W1449" s="9"/>
      <c r="X1449" s="9"/>
    </row>
    <row r="1450" spans="1:24">
      <c r="A1450" s="13" t="s">
        <v>19</v>
      </c>
      <c r="B1450" s="1"/>
      <c r="C1450" s="1" t="s">
        <v>26</v>
      </c>
      <c r="D1450" s="3">
        <v>37000</v>
      </c>
      <c r="E1450"/>
      <c r="F1450"/>
      <c r="G1450"/>
      <c r="H1450"/>
      <c r="I1450"/>
      <c r="J1450"/>
      <c r="K1450"/>
      <c r="L1450"/>
      <c r="M1450" s="18" t="s">
        <v>433</v>
      </c>
      <c r="N1450" t="s">
        <v>1324</v>
      </c>
      <c r="O1450" t="s">
        <v>96</v>
      </c>
      <c r="P1450" s="1" t="s">
        <v>513</v>
      </c>
      <c r="Q1450" s="13" t="s">
        <v>1018</v>
      </c>
      <c r="R1450">
        <v>1</v>
      </c>
      <c r="S1450">
        <v>37000</v>
      </c>
      <c r="T1450"/>
      <c r="U1450" s="9"/>
      <c r="V1450" s="9"/>
      <c r="W1450" s="9"/>
      <c r="X1450" s="9"/>
    </row>
    <row r="1451" spans="1:24">
      <c r="A1451" s="13" t="s">
        <v>19</v>
      </c>
      <c r="B1451" s="1"/>
      <c r="C1451" s="1" t="s">
        <v>26</v>
      </c>
      <c r="D1451" s="3">
        <v>37000</v>
      </c>
      <c r="E1451"/>
      <c r="F1451"/>
      <c r="G1451"/>
      <c r="H1451"/>
      <c r="I1451"/>
      <c r="J1451"/>
      <c r="K1451"/>
      <c r="L1451"/>
      <c r="M1451" s="18" t="s">
        <v>433</v>
      </c>
      <c r="N1451" t="s">
        <v>1324</v>
      </c>
      <c r="O1451" t="s">
        <v>96</v>
      </c>
      <c r="P1451" s="1" t="s">
        <v>558</v>
      </c>
      <c r="Q1451" s="13" t="s">
        <v>1018</v>
      </c>
      <c r="R1451">
        <v>1</v>
      </c>
      <c r="S1451">
        <v>37000</v>
      </c>
      <c r="T1451"/>
      <c r="U1451" s="9"/>
      <c r="V1451" s="9"/>
      <c r="W1451" s="9"/>
      <c r="X1451" s="9"/>
    </row>
    <row r="1452" spans="1:24">
      <c r="A1452" s="13" t="s">
        <v>19</v>
      </c>
      <c r="B1452" s="1"/>
      <c r="C1452" s="1" t="s">
        <v>26</v>
      </c>
      <c r="D1452" s="3">
        <v>37000</v>
      </c>
      <c r="E1452"/>
      <c r="F1452"/>
      <c r="G1452"/>
      <c r="H1452"/>
      <c r="I1452"/>
      <c r="J1452"/>
      <c r="K1452"/>
      <c r="L1452"/>
      <c r="M1452" s="18" t="s">
        <v>433</v>
      </c>
      <c r="N1452" t="s">
        <v>1324</v>
      </c>
      <c r="O1452" t="s">
        <v>96</v>
      </c>
      <c r="P1452" s="1" t="s">
        <v>930</v>
      </c>
      <c r="Q1452" s="13" t="s">
        <v>1018</v>
      </c>
      <c r="R1452">
        <v>1</v>
      </c>
      <c r="S1452">
        <v>37000</v>
      </c>
      <c r="T1452"/>
      <c r="U1452" s="9"/>
      <c r="V1452" s="9"/>
      <c r="W1452" s="9"/>
      <c r="X1452" s="9"/>
    </row>
    <row r="1453" spans="1:24">
      <c r="A1453" s="13" t="s">
        <v>19</v>
      </c>
      <c r="B1453" s="1"/>
      <c r="C1453" s="1" t="s">
        <v>26</v>
      </c>
      <c r="D1453" s="3">
        <v>74000</v>
      </c>
      <c r="E1453"/>
      <c r="F1453"/>
      <c r="G1453"/>
      <c r="H1453"/>
      <c r="I1453"/>
      <c r="J1453"/>
      <c r="K1453"/>
      <c r="L1453"/>
      <c r="M1453" s="18" t="s">
        <v>433</v>
      </c>
      <c r="N1453" t="s">
        <v>1324</v>
      </c>
      <c r="O1453" t="s">
        <v>96</v>
      </c>
      <c r="P1453" s="1" t="s">
        <v>931</v>
      </c>
      <c r="Q1453" s="13" t="s">
        <v>1018</v>
      </c>
      <c r="R1453">
        <v>2</v>
      </c>
      <c r="S1453">
        <v>37000</v>
      </c>
      <c r="T1453"/>
      <c r="U1453" s="9"/>
      <c r="V1453" s="9"/>
      <c r="W1453" s="9"/>
      <c r="X1453" s="9"/>
    </row>
    <row r="1454" spans="1:24">
      <c r="A1454" s="13" t="s">
        <v>19</v>
      </c>
      <c r="B1454" s="1"/>
      <c r="C1454" s="1" t="s">
        <v>29</v>
      </c>
      <c r="D1454" s="3">
        <v>15000</v>
      </c>
      <c r="E1454"/>
      <c r="F1454"/>
      <c r="G1454"/>
      <c r="H1454"/>
      <c r="I1454"/>
      <c r="J1454"/>
      <c r="K1454"/>
      <c r="L1454"/>
      <c r="M1454" s="18" t="s">
        <v>433</v>
      </c>
      <c r="N1454" t="s">
        <v>1324</v>
      </c>
      <c r="O1454" t="s">
        <v>96</v>
      </c>
      <c r="P1454" s="1" t="s">
        <v>30</v>
      </c>
      <c r="Q1454" s="13" t="s">
        <v>1018</v>
      </c>
      <c r="R1454">
        <v>3</v>
      </c>
      <c r="S1454">
        <v>5000</v>
      </c>
      <c r="T1454"/>
      <c r="U1454" s="9"/>
      <c r="V1454" s="9"/>
      <c r="W1454" s="9"/>
      <c r="X1454" s="9"/>
    </row>
    <row r="1455" spans="1:24">
      <c r="A1455" s="13" t="s">
        <v>19</v>
      </c>
      <c r="B1455" s="1"/>
      <c r="C1455" s="1" t="s">
        <v>32</v>
      </c>
      <c r="D1455" s="3">
        <v>5000</v>
      </c>
      <c r="E1455"/>
      <c r="F1455"/>
      <c r="G1455"/>
      <c r="H1455"/>
      <c r="I1455"/>
      <c r="J1455"/>
      <c r="K1455"/>
      <c r="L1455"/>
      <c r="M1455" s="18" t="s">
        <v>433</v>
      </c>
      <c r="N1455" t="s">
        <v>1324</v>
      </c>
      <c r="O1455" t="s">
        <v>96</v>
      </c>
      <c r="P1455" s="1" t="s">
        <v>516</v>
      </c>
      <c r="Q1455" s="13" t="s">
        <v>1018</v>
      </c>
      <c r="R1455">
        <v>1</v>
      </c>
      <c r="S1455">
        <v>5000</v>
      </c>
      <c r="T1455"/>
      <c r="U1455" s="9"/>
      <c r="V1455" s="9"/>
      <c r="W1455" s="9"/>
      <c r="X1455" s="9"/>
    </row>
    <row r="1456" spans="1:24">
      <c r="A1456" s="13" t="s">
        <v>19</v>
      </c>
      <c r="B1456" s="1"/>
      <c r="C1456" s="1" t="s">
        <v>32</v>
      </c>
      <c r="D1456" s="3">
        <v>5000</v>
      </c>
      <c r="E1456"/>
      <c r="F1456"/>
      <c r="G1456"/>
      <c r="H1456"/>
      <c r="I1456"/>
      <c r="J1456"/>
      <c r="K1456"/>
      <c r="L1456"/>
      <c r="M1456" s="18" t="s">
        <v>433</v>
      </c>
      <c r="N1456" t="s">
        <v>1324</v>
      </c>
      <c r="O1456" t="s">
        <v>96</v>
      </c>
      <c r="P1456" s="1" t="s">
        <v>559</v>
      </c>
      <c r="Q1456" s="13" t="s">
        <v>1018</v>
      </c>
      <c r="R1456">
        <v>1</v>
      </c>
      <c r="S1456">
        <v>5000</v>
      </c>
      <c r="T1456"/>
      <c r="U1456" s="9"/>
      <c r="V1456" s="9"/>
      <c r="W1456" s="9"/>
      <c r="X1456" s="9"/>
    </row>
    <row r="1457" spans="1:24">
      <c r="A1457" s="13" t="s">
        <v>19</v>
      </c>
      <c r="B1457" s="1"/>
      <c r="C1457" s="1" t="s">
        <v>32</v>
      </c>
      <c r="D1457" s="3">
        <v>5000</v>
      </c>
      <c r="E1457"/>
      <c r="F1457"/>
      <c r="G1457"/>
      <c r="H1457"/>
      <c r="I1457"/>
      <c r="J1457"/>
      <c r="K1457"/>
      <c r="L1457"/>
      <c r="M1457" s="18" t="s">
        <v>433</v>
      </c>
      <c r="N1457" t="s">
        <v>1324</v>
      </c>
      <c r="O1457" t="s">
        <v>96</v>
      </c>
      <c r="P1457" s="1" t="s">
        <v>932</v>
      </c>
      <c r="Q1457" s="13" t="s">
        <v>1018</v>
      </c>
      <c r="R1457">
        <v>1</v>
      </c>
      <c r="S1457">
        <v>5000</v>
      </c>
      <c r="T1457"/>
      <c r="U1457" s="9"/>
      <c r="V1457" s="9"/>
      <c r="W1457" s="9"/>
      <c r="X1457" s="9"/>
    </row>
    <row r="1458" spans="1:24">
      <c r="A1458" s="13" t="s">
        <v>19</v>
      </c>
      <c r="B1458" s="1"/>
      <c r="C1458" s="1" t="s">
        <v>32</v>
      </c>
      <c r="D1458" s="3">
        <v>10000</v>
      </c>
      <c r="E1458"/>
      <c r="F1458"/>
      <c r="G1458"/>
      <c r="H1458"/>
      <c r="I1458"/>
      <c r="J1458"/>
      <c r="K1458"/>
      <c r="L1458"/>
      <c r="M1458" s="18" t="s">
        <v>433</v>
      </c>
      <c r="N1458" t="s">
        <v>1324</v>
      </c>
      <c r="O1458" t="s">
        <v>96</v>
      </c>
      <c r="P1458" s="1" t="s">
        <v>933</v>
      </c>
      <c r="Q1458" s="13" t="s">
        <v>1018</v>
      </c>
      <c r="R1458">
        <v>2</v>
      </c>
      <c r="S1458">
        <v>5000</v>
      </c>
      <c r="T1458"/>
      <c r="U1458" s="9"/>
      <c r="V1458" s="9"/>
      <c r="W1458" s="9"/>
      <c r="X1458" s="9"/>
    </row>
    <row r="1459" spans="1:24">
      <c r="A1459" s="13"/>
      <c r="B1459" s="1"/>
      <c r="C1459" s="1"/>
      <c r="D1459" s="3" t="str">
        <f>SUBTOTAL(9,D1449:D1458)</f>
        <v>0</v>
      </c>
      <c r="E1459"/>
      <c r="F1459"/>
      <c r="G1459"/>
      <c r="H1459"/>
      <c r="I1459"/>
      <c r="J1459"/>
      <c r="K1459"/>
      <c r="L1459"/>
      <c r="M1459" s="18" t="s">
        <v>434</v>
      </c>
      <c r="N1459" t="s">
        <v>1562</v>
      </c>
      <c r="O1459" t="s">
        <v>96</v>
      </c>
      <c r="P1459" s="1"/>
      <c r="Q1459" s="13"/>
      <c r="R1459"/>
      <c r="S1459"/>
      <c r="T1459"/>
      <c r="U1459" s="9"/>
      <c r="V1459" s="9"/>
      <c r="W1459" s="9"/>
      <c r="X1459" s="9"/>
    </row>
    <row r="1460" spans="1:24">
      <c r="A1460" s="13" t="s">
        <v>19</v>
      </c>
      <c r="B1460" s="1"/>
      <c r="C1460" s="1" t="s">
        <v>20</v>
      </c>
      <c r="D1460" s="3">
        <v>60000</v>
      </c>
      <c r="E1460"/>
      <c r="F1460"/>
      <c r="G1460"/>
      <c r="H1460"/>
      <c r="I1460"/>
      <c r="J1460"/>
      <c r="K1460"/>
      <c r="L1460"/>
      <c r="M1460" s="18" t="s">
        <v>435</v>
      </c>
      <c r="N1460" t="s">
        <v>1216</v>
      </c>
      <c r="O1460" t="s">
        <v>1395</v>
      </c>
      <c r="P1460" s="1" t="s">
        <v>740</v>
      </c>
      <c r="Q1460" s="13" t="s">
        <v>25</v>
      </c>
      <c r="R1460">
        <v>2</v>
      </c>
      <c r="S1460">
        <v>30000</v>
      </c>
      <c r="T1460"/>
      <c r="U1460" s="9"/>
      <c r="V1460" s="9"/>
      <c r="W1460" s="9"/>
      <c r="X1460" s="9"/>
    </row>
    <row r="1461" spans="1:24">
      <c r="A1461" s="13" t="s">
        <v>19</v>
      </c>
      <c r="B1461" s="1"/>
      <c r="C1461" s="1" t="s">
        <v>20</v>
      </c>
      <c r="D1461" s="3">
        <v>60000</v>
      </c>
      <c r="E1461"/>
      <c r="F1461"/>
      <c r="G1461"/>
      <c r="H1461"/>
      <c r="I1461"/>
      <c r="J1461"/>
      <c r="K1461"/>
      <c r="L1461"/>
      <c r="M1461" s="18" t="s">
        <v>435</v>
      </c>
      <c r="N1461" t="s">
        <v>1216</v>
      </c>
      <c r="O1461" t="s">
        <v>1395</v>
      </c>
      <c r="P1461" s="1" t="s">
        <v>934</v>
      </c>
      <c r="Q1461" s="13" t="s">
        <v>25</v>
      </c>
      <c r="R1461">
        <v>2</v>
      </c>
      <c r="S1461">
        <v>30000</v>
      </c>
      <c r="T1461"/>
      <c r="U1461" s="9"/>
      <c r="V1461" s="9"/>
      <c r="W1461" s="9"/>
      <c r="X1461" s="9"/>
    </row>
    <row r="1462" spans="1:24">
      <c r="A1462" s="13" t="s">
        <v>19</v>
      </c>
      <c r="B1462" s="1"/>
      <c r="C1462" s="1" t="s">
        <v>20</v>
      </c>
      <c r="D1462" s="3">
        <v>60000</v>
      </c>
      <c r="E1462"/>
      <c r="F1462"/>
      <c r="G1462"/>
      <c r="H1462"/>
      <c r="I1462"/>
      <c r="J1462"/>
      <c r="K1462"/>
      <c r="L1462"/>
      <c r="M1462" s="18" t="s">
        <v>435</v>
      </c>
      <c r="N1462" t="s">
        <v>1216</v>
      </c>
      <c r="O1462" t="s">
        <v>1395</v>
      </c>
      <c r="P1462" s="1" t="s">
        <v>545</v>
      </c>
      <c r="Q1462" s="13" t="s">
        <v>25</v>
      </c>
      <c r="R1462">
        <v>2</v>
      </c>
      <c r="S1462">
        <v>30000</v>
      </c>
      <c r="T1462"/>
      <c r="U1462" s="9"/>
      <c r="V1462" s="9"/>
      <c r="W1462" s="9"/>
      <c r="X1462" s="9"/>
    </row>
    <row r="1463" spans="1:24">
      <c r="A1463" s="13" t="s">
        <v>19</v>
      </c>
      <c r="B1463" s="1"/>
      <c r="C1463" s="1" t="s">
        <v>20</v>
      </c>
      <c r="D1463" s="3">
        <v>30000</v>
      </c>
      <c r="E1463"/>
      <c r="F1463"/>
      <c r="G1463"/>
      <c r="H1463"/>
      <c r="I1463"/>
      <c r="J1463"/>
      <c r="K1463"/>
      <c r="L1463"/>
      <c r="M1463" s="18" t="s">
        <v>435</v>
      </c>
      <c r="N1463" t="s">
        <v>1216</v>
      </c>
      <c r="O1463" t="s">
        <v>1395</v>
      </c>
      <c r="P1463" s="1" t="s">
        <v>935</v>
      </c>
      <c r="Q1463" s="13" t="s">
        <v>25</v>
      </c>
      <c r="R1463">
        <v>1</v>
      </c>
      <c r="S1463">
        <v>30000</v>
      </c>
      <c r="T1463"/>
      <c r="U1463" s="9"/>
      <c r="V1463" s="9"/>
      <c r="W1463" s="9"/>
      <c r="X1463" s="9"/>
    </row>
    <row r="1464" spans="1:24">
      <c r="A1464" s="13" t="s">
        <v>19</v>
      </c>
      <c r="B1464" s="1"/>
      <c r="C1464" s="1" t="s">
        <v>29</v>
      </c>
      <c r="D1464" s="3">
        <v>10000</v>
      </c>
      <c r="E1464"/>
      <c r="F1464"/>
      <c r="G1464"/>
      <c r="H1464"/>
      <c r="I1464"/>
      <c r="J1464"/>
      <c r="K1464"/>
      <c r="L1464"/>
      <c r="M1464" s="18" t="s">
        <v>435</v>
      </c>
      <c r="N1464" t="s">
        <v>1216</v>
      </c>
      <c r="O1464" t="s">
        <v>1395</v>
      </c>
      <c r="P1464" s="1" t="s">
        <v>742</v>
      </c>
      <c r="Q1464" s="13" t="s">
        <v>25</v>
      </c>
      <c r="R1464">
        <v>2</v>
      </c>
      <c r="S1464">
        <v>5000</v>
      </c>
      <c r="T1464"/>
      <c r="U1464" s="9"/>
      <c r="V1464" s="9"/>
      <c r="W1464" s="9"/>
      <c r="X1464" s="9"/>
    </row>
    <row r="1465" spans="1:24">
      <c r="A1465" s="13" t="s">
        <v>19</v>
      </c>
      <c r="B1465" s="1"/>
      <c r="C1465" s="1" t="s">
        <v>29</v>
      </c>
      <c r="D1465" s="3">
        <v>10000</v>
      </c>
      <c r="E1465"/>
      <c r="F1465"/>
      <c r="G1465"/>
      <c r="H1465"/>
      <c r="I1465"/>
      <c r="J1465"/>
      <c r="K1465"/>
      <c r="L1465"/>
      <c r="M1465" s="18" t="s">
        <v>435</v>
      </c>
      <c r="N1465" t="s">
        <v>1216</v>
      </c>
      <c r="O1465" t="s">
        <v>1395</v>
      </c>
      <c r="P1465" s="1" t="s">
        <v>936</v>
      </c>
      <c r="Q1465" s="13" t="s">
        <v>25</v>
      </c>
      <c r="R1465">
        <v>2</v>
      </c>
      <c r="S1465">
        <v>5000</v>
      </c>
      <c r="T1465"/>
      <c r="U1465" s="9"/>
      <c r="V1465" s="9"/>
      <c r="W1465" s="9"/>
      <c r="X1465" s="9"/>
    </row>
    <row r="1466" spans="1:24">
      <c r="A1466" s="13" t="s">
        <v>19</v>
      </c>
      <c r="B1466" s="1"/>
      <c r="C1466" s="1" t="s">
        <v>29</v>
      </c>
      <c r="D1466" s="3">
        <v>10000</v>
      </c>
      <c r="E1466"/>
      <c r="F1466"/>
      <c r="G1466"/>
      <c r="H1466"/>
      <c r="I1466"/>
      <c r="J1466"/>
      <c r="K1466"/>
      <c r="L1466"/>
      <c r="M1466" s="18" t="s">
        <v>435</v>
      </c>
      <c r="N1466" t="s">
        <v>1216</v>
      </c>
      <c r="O1466" t="s">
        <v>1395</v>
      </c>
      <c r="P1466" s="1" t="s">
        <v>550</v>
      </c>
      <c r="Q1466" s="13" t="s">
        <v>25</v>
      </c>
      <c r="R1466">
        <v>2</v>
      </c>
      <c r="S1466">
        <v>5000</v>
      </c>
      <c r="T1466"/>
      <c r="U1466" s="9"/>
      <c r="V1466" s="9"/>
      <c r="W1466" s="9"/>
      <c r="X1466" s="9"/>
    </row>
    <row r="1467" spans="1:24">
      <c r="A1467" s="13" t="s">
        <v>19</v>
      </c>
      <c r="B1467" s="1"/>
      <c r="C1467" s="1" t="s">
        <v>29</v>
      </c>
      <c r="D1467" s="3">
        <v>5000</v>
      </c>
      <c r="E1467"/>
      <c r="F1467"/>
      <c r="G1467"/>
      <c r="H1467"/>
      <c r="I1467"/>
      <c r="J1467"/>
      <c r="K1467"/>
      <c r="L1467"/>
      <c r="M1467" s="18" t="s">
        <v>435</v>
      </c>
      <c r="N1467" t="s">
        <v>1216</v>
      </c>
      <c r="O1467" t="s">
        <v>1395</v>
      </c>
      <c r="P1467" s="1" t="s">
        <v>937</v>
      </c>
      <c r="Q1467" s="13" t="s">
        <v>25</v>
      </c>
      <c r="R1467">
        <v>1</v>
      </c>
      <c r="S1467">
        <v>5000</v>
      </c>
      <c r="T1467"/>
      <c r="U1467" s="9"/>
      <c r="V1467" s="9"/>
      <c r="W1467" s="9"/>
      <c r="X1467" s="9"/>
    </row>
    <row r="1468" spans="1:24">
      <c r="A1468" s="13"/>
      <c r="B1468" s="1"/>
      <c r="C1468" s="1"/>
      <c r="D1468" s="3" t="str">
        <f>SUBTOTAL(9,D1460:D1467)</f>
        <v>0</v>
      </c>
      <c r="E1468"/>
      <c r="F1468"/>
      <c r="G1468"/>
      <c r="H1468"/>
      <c r="I1468"/>
      <c r="J1468"/>
      <c r="K1468"/>
      <c r="L1468"/>
      <c r="M1468" s="18" t="s">
        <v>436</v>
      </c>
      <c r="N1468" t="s">
        <v>1563</v>
      </c>
      <c r="O1468" t="s">
        <v>1395</v>
      </c>
      <c r="P1468" s="1"/>
      <c r="Q1468" s="13"/>
      <c r="R1468"/>
      <c r="S1468"/>
      <c r="T1468"/>
      <c r="U1468" s="9"/>
      <c r="V1468" s="9"/>
      <c r="W1468" s="9"/>
      <c r="X1468" s="9"/>
    </row>
    <row r="1469" spans="1:24">
      <c r="A1469" s="13" t="s">
        <v>19</v>
      </c>
      <c r="B1469" s="1"/>
      <c r="C1469" s="1" t="s">
        <v>20</v>
      </c>
      <c r="D1469" s="3">
        <v>60000</v>
      </c>
      <c r="E1469"/>
      <c r="F1469"/>
      <c r="G1469"/>
      <c r="H1469"/>
      <c r="I1469"/>
      <c r="J1469"/>
      <c r="K1469"/>
      <c r="L1469"/>
      <c r="M1469" s="18" t="s">
        <v>437</v>
      </c>
      <c r="N1469" t="s">
        <v>1163</v>
      </c>
      <c r="O1469" t="s">
        <v>1395</v>
      </c>
      <c r="P1469" s="1" t="s">
        <v>24</v>
      </c>
      <c r="Q1469" s="13" t="s">
        <v>25</v>
      </c>
      <c r="R1469">
        <v>3</v>
      </c>
      <c r="S1469">
        <v>20000</v>
      </c>
      <c r="T1469"/>
      <c r="U1469" s="9"/>
      <c r="V1469" s="9"/>
      <c r="W1469" s="9"/>
      <c r="X1469" s="9"/>
    </row>
    <row r="1470" spans="1:24">
      <c r="A1470" s="13" t="s">
        <v>19</v>
      </c>
      <c r="B1470" s="1"/>
      <c r="C1470" s="1" t="s">
        <v>29</v>
      </c>
      <c r="D1470" s="3">
        <v>15000</v>
      </c>
      <c r="E1470"/>
      <c r="F1470"/>
      <c r="G1470"/>
      <c r="H1470"/>
      <c r="I1470"/>
      <c r="J1470"/>
      <c r="K1470"/>
      <c r="L1470"/>
      <c r="M1470" s="18" t="s">
        <v>437</v>
      </c>
      <c r="N1470" t="s">
        <v>1163</v>
      </c>
      <c r="O1470" t="s">
        <v>1395</v>
      </c>
      <c r="P1470" s="1" t="s">
        <v>30</v>
      </c>
      <c r="Q1470" s="13" t="s">
        <v>25</v>
      </c>
      <c r="R1470">
        <v>3</v>
      </c>
      <c r="S1470">
        <v>5000</v>
      </c>
      <c r="T1470"/>
      <c r="U1470" s="9"/>
      <c r="V1470" s="9"/>
      <c r="W1470" s="9"/>
      <c r="X1470" s="9"/>
    </row>
    <row r="1471" spans="1:24">
      <c r="A1471" s="13"/>
      <c r="B1471" s="1"/>
      <c r="C1471" s="1"/>
      <c r="D1471" s="3" t="str">
        <f>SUBTOTAL(9,D1469:D1470)</f>
        <v>0</v>
      </c>
      <c r="E1471"/>
      <c r="F1471"/>
      <c r="G1471"/>
      <c r="H1471"/>
      <c r="I1471"/>
      <c r="J1471"/>
      <c r="K1471"/>
      <c r="L1471"/>
      <c r="M1471" s="18" t="s">
        <v>438</v>
      </c>
      <c r="N1471" t="s">
        <v>1564</v>
      </c>
      <c r="O1471" t="s">
        <v>1395</v>
      </c>
      <c r="P1471" s="1"/>
      <c r="Q1471" s="13"/>
      <c r="R1471"/>
      <c r="S1471"/>
      <c r="T1471"/>
      <c r="U1471" s="9"/>
      <c r="V1471" s="9"/>
      <c r="W1471" s="9"/>
      <c r="X1471" s="9"/>
    </row>
    <row r="1472" spans="1:24">
      <c r="A1472" s="13" t="s">
        <v>19</v>
      </c>
      <c r="B1472" s="1"/>
      <c r="C1472" s="1" t="s">
        <v>20</v>
      </c>
      <c r="D1472" s="3">
        <v>96000</v>
      </c>
      <c r="E1472"/>
      <c r="F1472"/>
      <c r="G1472"/>
      <c r="H1472"/>
      <c r="I1472"/>
      <c r="J1472"/>
      <c r="K1472"/>
      <c r="L1472"/>
      <c r="M1472" s="18" t="s">
        <v>439</v>
      </c>
      <c r="N1472" t="s">
        <v>1227</v>
      </c>
      <c r="O1472" t="s">
        <v>96</v>
      </c>
      <c r="P1472" s="1" t="s">
        <v>902</v>
      </c>
      <c r="Q1472" s="13" t="s">
        <v>25</v>
      </c>
      <c r="R1472">
        <v>3</v>
      </c>
      <c r="S1472">
        <v>32000</v>
      </c>
      <c r="T1472"/>
      <c r="U1472" s="9"/>
      <c r="V1472" s="9"/>
      <c r="W1472" s="9"/>
      <c r="X1472" s="9"/>
    </row>
    <row r="1473" spans="1:24">
      <c r="A1473" s="13" t="s">
        <v>19</v>
      </c>
      <c r="B1473" s="1"/>
      <c r="C1473" s="1" t="s">
        <v>20</v>
      </c>
      <c r="D1473" s="3">
        <v>96000</v>
      </c>
      <c r="E1473"/>
      <c r="F1473"/>
      <c r="G1473"/>
      <c r="H1473"/>
      <c r="I1473"/>
      <c r="J1473"/>
      <c r="K1473"/>
      <c r="L1473"/>
      <c r="M1473" s="18" t="s">
        <v>439</v>
      </c>
      <c r="N1473" t="s">
        <v>1227</v>
      </c>
      <c r="O1473" t="s">
        <v>96</v>
      </c>
      <c r="P1473" s="1" t="s">
        <v>938</v>
      </c>
      <c r="Q1473" s="13" t="s">
        <v>25</v>
      </c>
      <c r="R1473">
        <v>3</v>
      </c>
      <c r="S1473">
        <v>32000</v>
      </c>
      <c r="T1473"/>
      <c r="U1473" s="9"/>
      <c r="V1473" s="9"/>
      <c r="W1473" s="9"/>
      <c r="X1473" s="9"/>
    </row>
    <row r="1474" spans="1:24">
      <c r="A1474" s="13" t="s">
        <v>19</v>
      </c>
      <c r="B1474" s="1"/>
      <c r="C1474" s="1" t="s">
        <v>20</v>
      </c>
      <c r="D1474" s="3">
        <v>96000</v>
      </c>
      <c r="E1474"/>
      <c r="F1474"/>
      <c r="G1474"/>
      <c r="H1474"/>
      <c r="I1474"/>
      <c r="J1474"/>
      <c r="K1474"/>
      <c r="L1474"/>
      <c r="M1474" s="18" t="s">
        <v>439</v>
      </c>
      <c r="N1474" t="s">
        <v>1227</v>
      </c>
      <c r="O1474" t="s">
        <v>96</v>
      </c>
      <c r="P1474" s="1" t="s">
        <v>518</v>
      </c>
      <c r="Q1474" s="13" t="s">
        <v>25</v>
      </c>
      <c r="R1474">
        <v>3</v>
      </c>
      <c r="S1474">
        <v>32000</v>
      </c>
      <c r="T1474"/>
      <c r="U1474" s="9"/>
      <c r="V1474" s="9"/>
      <c r="W1474" s="9"/>
      <c r="X1474" s="9"/>
    </row>
    <row r="1475" spans="1:24">
      <c r="A1475" s="13" t="s">
        <v>19</v>
      </c>
      <c r="B1475" s="1"/>
      <c r="C1475" s="1" t="s">
        <v>20</v>
      </c>
      <c r="D1475" s="3">
        <v>96000</v>
      </c>
      <c r="E1475"/>
      <c r="F1475"/>
      <c r="G1475"/>
      <c r="H1475"/>
      <c r="I1475"/>
      <c r="J1475"/>
      <c r="K1475"/>
      <c r="L1475"/>
      <c r="M1475" s="18" t="s">
        <v>439</v>
      </c>
      <c r="N1475" t="s">
        <v>1227</v>
      </c>
      <c r="O1475" t="s">
        <v>96</v>
      </c>
      <c r="P1475" s="1" t="s">
        <v>643</v>
      </c>
      <c r="Q1475" s="13" t="s">
        <v>25</v>
      </c>
      <c r="R1475">
        <v>3</v>
      </c>
      <c r="S1475">
        <v>32000</v>
      </c>
      <c r="T1475"/>
      <c r="U1475" s="9"/>
      <c r="V1475" s="9"/>
      <c r="W1475" s="9"/>
      <c r="X1475" s="9"/>
    </row>
    <row r="1476" spans="1:24">
      <c r="A1476" s="13" t="s">
        <v>19</v>
      </c>
      <c r="B1476" s="1"/>
      <c r="C1476" s="1" t="s">
        <v>20</v>
      </c>
      <c r="D1476" s="3">
        <v>32000</v>
      </c>
      <c r="E1476"/>
      <c r="F1476"/>
      <c r="G1476"/>
      <c r="H1476"/>
      <c r="I1476"/>
      <c r="J1476"/>
      <c r="K1476"/>
      <c r="L1476"/>
      <c r="M1476" s="18" t="s">
        <v>439</v>
      </c>
      <c r="N1476" t="s">
        <v>1227</v>
      </c>
      <c r="O1476" t="s">
        <v>96</v>
      </c>
      <c r="P1476" s="1" t="s">
        <v>939</v>
      </c>
      <c r="Q1476" s="13" t="s">
        <v>25</v>
      </c>
      <c r="R1476">
        <v>1</v>
      </c>
      <c r="S1476">
        <v>32000</v>
      </c>
      <c r="T1476"/>
      <c r="U1476" s="9"/>
      <c r="V1476" s="9"/>
      <c r="W1476" s="9"/>
      <c r="X1476" s="9"/>
    </row>
    <row r="1477" spans="1:24">
      <c r="A1477" s="13" t="s">
        <v>19</v>
      </c>
      <c r="B1477" s="1"/>
      <c r="C1477" s="1" t="s">
        <v>20</v>
      </c>
      <c r="D1477" s="3">
        <v>96000</v>
      </c>
      <c r="E1477"/>
      <c r="F1477"/>
      <c r="G1477"/>
      <c r="H1477"/>
      <c r="I1477"/>
      <c r="J1477"/>
      <c r="K1477"/>
      <c r="L1477"/>
      <c r="M1477" s="18" t="s">
        <v>439</v>
      </c>
      <c r="N1477" t="s">
        <v>1227</v>
      </c>
      <c r="O1477" t="s">
        <v>96</v>
      </c>
      <c r="P1477" s="1" t="s">
        <v>940</v>
      </c>
      <c r="Q1477" s="13" t="s">
        <v>25</v>
      </c>
      <c r="R1477">
        <v>3</v>
      </c>
      <c r="S1477">
        <v>32000</v>
      </c>
      <c r="T1477"/>
      <c r="U1477" s="9"/>
      <c r="V1477" s="9"/>
      <c r="W1477" s="9"/>
      <c r="X1477" s="9"/>
    </row>
    <row r="1478" spans="1:24">
      <c r="A1478" s="13" t="s">
        <v>19</v>
      </c>
      <c r="B1478" s="1"/>
      <c r="C1478" s="1" t="s">
        <v>29</v>
      </c>
      <c r="D1478" s="3">
        <v>15000</v>
      </c>
      <c r="E1478"/>
      <c r="F1478"/>
      <c r="G1478"/>
      <c r="H1478"/>
      <c r="I1478"/>
      <c r="J1478"/>
      <c r="K1478"/>
      <c r="L1478"/>
      <c r="M1478" s="18" t="s">
        <v>439</v>
      </c>
      <c r="N1478" t="s">
        <v>1227</v>
      </c>
      <c r="O1478" t="s">
        <v>96</v>
      </c>
      <c r="P1478" s="1" t="s">
        <v>903</v>
      </c>
      <c r="Q1478" s="13" t="s">
        <v>25</v>
      </c>
      <c r="R1478">
        <v>3</v>
      </c>
      <c r="S1478">
        <v>5000</v>
      </c>
      <c r="T1478"/>
      <c r="U1478" s="9"/>
      <c r="V1478" s="9"/>
      <c r="W1478" s="9"/>
      <c r="X1478" s="9"/>
    </row>
    <row r="1479" spans="1:24">
      <c r="A1479" s="13" t="s">
        <v>19</v>
      </c>
      <c r="B1479" s="1"/>
      <c r="C1479" s="1" t="s">
        <v>29</v>
      </c>
      <c r="D1479" s="3">
        <v>15000</v>
      </c>
      <c r="E1479"/>
      <c r="F1479"/>
      <c r="G1479"/>
      <c r="H1479"/>
      <c r="I1479"/>
      <c r="J1479"/>
      <c r="K1479"/>
      <c r="L1479"/>
      <c r="M1479" s="18" t="s">
        <v>439</v>
      </c>
      <c r="N1479" t="s">
        <v>1227</v>
      </c>
      <c r="O1479" t="s">
        <v>96</v>
      </c>
      <c r="P1479" s="1" t="s">
        <v>941</v>
      </c>
      <c r="Q1479" s="13" t="s">
        <v>25</v>
      </c>
      <c r="R1479">
        <v>3</v>
      </c>
      <c r="S1479">
        <v>5000</v>
      </c>
      <c r="T1479"/>
      <c r="U1479" s="9"/>
      <c r="V1479" s="9"/>
      <c r="W1479" s="9"/>
      <c r="X1479" s="9"/>
    </row>
    <row r="1480" spans="1:24">
      <c r="A1480" s="13" t="s">
        <v>19</v>
      </c>
      <c r="B1480" s="1"/>
      <c r="C1480" s="1" t="s">
        <v>29</v>
      </c>
      <c r="D1480" s="3">
        <v>15000</v>
      </c>
      <c r="E1480"/>
      <c r="F1480"/>
      <c r="G1480"/>
      <c r="H1480"/>
      <c r="I1480"/>
      <c r="J1480"/>
      <c r="K1480"/>
      <c r="L1480"/>
      <c r="M1480" s="18" t="s">
        <v>439</v>
      </c>
      <c r="N1480" t="s">
        <v>1227</v>
      </c>
      <c r="O1480" t="s">
        <v>96</v>
      </c>
      <c r="P1480" s="1" t="s">
        <v>519</v>
      </c>
      <c r="Q1480" s="13" t="s">
        <v>25</v>
      </c>
      <c r="R1480">
        <v>3</v>
      </c>
      <c r="S1480">
        <v>5000</v>
      </c>
      <c r="T1480"/>
      <c r="U1480" s="9"/>
      <c r="V1480" s="9"/>
      <c r="W1480" s="9"/>
      <c r="X1480" s="9"/>
    </row>
    <row r="1481" spans="1:24">
      <c r="A1481" s="13" t="s">
        <v>19</v>
      </c>
      <c r="B1481" s="1"/>
      <c r="C1481" s="1" t="s">
        <v>29</v>
      </c>
      <c r="D1481" s="3">
        <v>15000</v>
      </c>
      <c r="E1481"/>
      <c r="F1481"/>
      <c r="G1481"/>
      <c r="H1481"/>
      <c r="I1481"/>
      <c r="J1481"/>
      <c r="K1481"/>
      <c r="L1481"/>
      <c r="M1481" s="18" t="s">
        <v>439</v>
      </c>
      <c r="N1481" t="s">
        <v>1227</v>
      </c>
      <c r="O1481" t="s">
        <v>96</v>
      </c>
      <c r="P1481" s="1" t="s">
        <v>647</v>
      </c>
      <c r="Q1481" s="13" t="s">
        <v>25</v>
      </c>
      <c r="R1481">
        <v>3</v>
      </c>
      <c r="S1481">
        <v>5000</v>
      </c>
      <c r="T1481"/>
      <c r="U1481" s="9"/>
      <c r="V1481" s="9"/>
      <c r="W1481" s="9"/>
      <c r="X1481" s="9"/>
    </row>
    <row r="1482" spans="1:24">
      <c r="A1482" s="13" t="s">
        <v>19</v>
      </c>
      <c r="B1482" s="1"/>
      <c r="C1482" s="1" t="s">
        <v>29</v>
      </c>
      <c r="D1482" s="3">
        <v>5000</v>
      </c>
      <c r="E1482"/>
      <c r="F1482"/>
      <c r="G1482"/>
      <c r="H1482"/>
      <c r="I1482"/>
      <c r="J1482"/>
      <c r="K1482"/>
      <c r="L1482"/>
      <c r="M1482" s="18" t="s">
        <v>439</v>
      </c>
      <c r="N1482" t="s">
        <v>1227</v>
      </c>
      <c r="O1482" t="s">
        <v>96</v>
      </c>
      <c r="P1482" s="1" t="s">
        <v>942</v>
      </c>
      <c r="Q1482" s="13" t="s">
        <v>25</v>
      </c>
      <c r="R1482">
        <v>1</v>
      </c>
      <c r="S1482">
        <v>5000</v>
      </c>
      <c r="T1482"/>
      <c r="U1482" s="9"/>
      <c r="V1482" s="9"/>
      <c r="W1482" s="9"/>
      <c r="X1482" s="9"/>
    </row>
    <row r="1483" spans="1:24">
      <c r="A1483" s="13" t="s">
        <v>19</v>
      </c>
      <c r="B1483" s="1"/>
      <c r="C1483" s="1" t="s">
        <v>29</v>
      </c>
      <c r="D1483" s="3">
        <v>15000</v>
      </c>
      <c r="E1483"/>
      <c r="F1483"/>
      <c r="G1483"/>
      <c r="H1483"/>
      <c r="I1483"/>
      <c r="J1483"/>
      <c r="K1483"/>
      <c r="L1483"/>
      <c r="M1483" s="18" t="s">
        <v>439</v>
      </c>
      <c r="N1483" t="s">
        <v>1227</v>
      </c>
      <c r="O1483" t="s">
        <v>96</v>
      </c>
      <c r="P1483" s="1" t="s">
        <v>943</v>
      </c>
      <c r="Q1483" s="13" t="s">
        <v>25</v>
      </c>
      <c r="R1483">
        <v>3</v>
      </c>
      <c r="S1483">
        <v>5000</v>
      </c>
      <c r="T1483"/>
      <c r="U1483" s="9"/>
      <c r="V1483" s="9"/>
      <c r="W1483" s="9"/>
      <c r="X1483" s="9"/>
    </row>
    <row r="1484" spans="1:24">
      <c r="A1484" s="13"/>
      <c r="B1484" s="1"/>
      <c r="C1484" s="1"/>
      <c r="D1484" s="3" t="str">
        <f>SUBTOTAL(9,D1472:D1483)</f>
        <v>0</v>
      </c>
      <c r="E1484"/>
      <c r="F1484"/>
      <c r="G1484"/>
      <c r="H1484"/>
      <c r="I1484"/>
      <c r="J1484"/>
      <c r="K1484"/>
      <c r="L1484"/>
      <c r="M1484" s="18" t="s">
        <v>440</v>
      </c>
      <c r="N1484" t="s">
        <v>1565</v>
      </c>
      <c r="O1484" t="s">
        <v>96</v>
      </c>
      <c r="P1484" s="1"/>
      <c r="Q1484" s="13"/>
      <c r="R1484"/>
      <c r="S1484"/>
      <c r="T1484"/>
      <c r="U1484" s="9"/>
      <c r="V1484" s="9"/>
      <c r="W1484" s="9"/>
      <c r="X1484" s="9"/>
    </row>
    <row r="1485" spans="1:24">
      <c r="A1485" s="13" t="s">
        <v>19</v>
      </c>
      <c r="B1485" s="1"/>
      <c r="C1485" s="1" t="s">
        <v>20</v>
      </c>
      <c r="D1485" s="3">
        <v>96000</v>
      </c>
      <c r="E1485"/>
      <c r="F1485"/>
      <c r="G1485"/>
      <c r="H1485"/>
      <c r="I1485"/>
      <c r="J1485"/>
      <c r="K1485"/>
      <c r="L1485"/>
      <c r="M1485" s="18" t="s">
        <v>441</v>
      </c>
      <c r="N1485" t="s">
        <v>1332</v>
      </c>
      <c r="O1485" t="s">
        <v>23</v>
      </c>
      <c r="P1485" s="1" t="s">
        <v>495</v>
      </c>
      <c r="Q1485" s="13" t="s">
        <v>25</v>
      </c>
      <c r="R1485">
        <v>3</v>
      </c>
      <c r="S1485">
        <v>32000</v>
      </c>
      <c r="T1485"/>
      <c r="U1485" s="9"/>
      <c r="V1485" s="9"/>
      <c r="W1485" s="9"/>
      <c r="X1485" s="9"/>
    </row>
    <row r="1486" spans="1:24">
      <c r="A1486" s="13" t="s">
        <v>19</v>
      </c>
      <c r="B1486" s="1"/>
      <c r="C1486" s="1" t="s">
        <v>20</v>
      </c>
      <c r="D1486" s="3">
        <v>96000</v>
      </c>
      <c r="E1486"/>
      <c r="F1486"/>
      <c r="G1486"/>
      <c r="H1486"/>
      <c r="I1486"/>
      <c r="J1486"/>
      <c r="K1486"/>
      <c r="L1486"/>
      <c r="M1486" s="18" t="s">
        <v>441</v>
      </c>
      <c r="N1486" t="s">
        <v>1332</v>
      </c>
      <c r="O1486" t="s">
        <v>23</v>
      </c>
      <c r="P1486" s="1" t="s">
        <v>24</v>
      </c>
      <c r="Q1486" s="13" t="s">
        <v>25</v>
      </c>
      <c r="R1486">
        <v>3</v>
      </c>
      <c r="S1486">
        <v>32000</v>
      </c>
      <c r="T1486"/>
      <c r="U1486" s="9"/>
      <c r="V1486" s="9"/>
      <c r="W1486" s="9"/>
      <c r="X1486" s="9"/>
    </row>
    <row r="1487" spans="1:24">
      <c r="A1487" s="13" t="s">
        <v>19</v>
      </c>
      <c r="B1487" s="1"/>
      <c r="C1487" s="1" t="s">
        <v>26</v>
      </c>
      <c r="D1487" s="3">
        <v>74000</v>
      </c>
      <c r="E1487"/>
      <c r="F1487"/>
      <c r="G1487"/>
      <c r="H1487"/>
      <c r="I1487"/>
      <c r="J1487"/>
      <c r="K1487"/>
      <c r="L1487"/>
      <c r="M1487" s="18" t="s">
        <v>441</v>
      </c>
      <c r="N1487" t="s">
        <v>1332</v>
      </c>
      <c r="O1487" t="s">
        <v>23</v>
      </c>
      <c r="P1487" s="1" t="s">
        <v>27</v>
      </c>
      <c r="Q1487" s="13" t="s">
        <v>25</v>
      </c>
      <c r="R1487">
        <v>2</v>
      </c>
      <c r="S1487">
        <v>37000</v>
      </c>
      <c r="T1487"/>
      <c r="U1487" s="9"/>
      <c r="V1487" s="9"/>
      <c r="W1487" s="9"/>
      <c r="X1487" s="9"/>
    </row>
    <row r="1488" spans="1:24">
      <c r="A1488" s="13" t="s">
        <v>19</v>
      </c>
      <c r="B1488" s="1"/>
      <c r="C1488" s="1" t="s">
        <v>29</v>
      </c>
      <c r="D1488" s="3">
        <v>15000</v>
      </c>
      <c r="E1488"/>
      <c r="F1488"/>
      <c r="G1488"/>
      <c r="H1488"/>
      <c r="I1488"/>
      <c r="J1488"/>
      <c r="K1488"/>
      <c r="L1488"/>
      <c r="M1488" s="18" t="s">
        <v>441</v>
      </c>
      <c r="N1488" t="s">
        <v>1332</v>
      </c>
      <c r="O1488" t="s">
        <v>23</v>
      </c>
      <c r="P1488" s="1" t="s">
        <v>499</v>
      </c>
      <c r="Q1488" s="13" t="s">
        <v>25</v>
      </c>
      <c r="R1488">
        <v>3</v>
      </c>
      <c r="S1488">
        <v>5000</v>
      </c>
      <c r="T1488"/>
      <c r="U1488" s="9"/>
      <c r="V1488" s="9"/>
      <c r="W1488" s="9"/>
      <c r="X1488" s="9"/>
    </row>
    <row r="1489" spans="1:24">
      <c r="A1489" s="13" t="s">
        <v>19</v>
      </c>
      <c r="B1489" s="1"/>
      <c r="C1489" s="1" t="s">
        <v>29</v>
      </c>
      <c r="D1489" s="3">
        <v>15000</v>
      </c>
      <c r="E1489"/>
      <c r="F1489"/>
      <c r="G1489"/>
      <c r="H1489"/>
      <c r="I1489"/>
      <c r="J1489"/>
      <c r="K1489"/>
      <c r="L1489"/>
      <c r="M1489" s="18" t="s">
        <v>441</v>
      </c>
      <c r="N1489" t="s">
        <v>1332</v>
      </c>
      <c r="O1489" t="s">
        <v>23</v>
      </c>
      <c r="P1489" s="1" t="s">
        <v>30</v>
      </c>
      <c r="Q1489" s="13" t="s">
        <v>25</v>
      </c>
      <c r="R1489">
        <v>3</v>
      </c>
      <c r="S1489">
        <v>5000</v>
      </c>
      <c r="T1489"/>
      <c r="U1489" s="9"/>
      <c r="V1489" s="9"/>
      <c r="W1489" s="9"/>
      <c r="X1489" s="9"/>
    </row>
    <row r="1490" spans="1:24">
      <c r="A1490" s="13" t="s">
        <v>19</v>
      </c>
      <c r="B1490" s="1"/>
      <c r="C1490" s="1" t="s">
        <v>32</v>
      </c>
      <c r="D1490" s="3">
        <v>10000</v>
      </c>
      <c r="E1490"/>
      <c r="F1490"/>
      <c r="G1490"/>
      <c r="H1490"/>
      <c r="I1490"/>
      <c r="J1490"/>
      <c r="K1490"/>
      <c r="L1490"/>
      <c r="M1490" s="18" t="s">
        <v>441</v>
      </c>
      <c r="N1490" t="s">
        <v>1332</v>
      </c>
      <c r="O1490" t="s">
        <v>23</v>
      </c>
      <c r="P1490" s="1" t="s">
        <v>33</v>
      </c>
      <c r="Q1490" s="13" t="s">
        <v>25</v>
      </c>
      <c r="R1490">
        <v>2</v>
      </c>
      <c r="S1490">
        <v>5000</v>
      </c>
      <c r="T1490"/>
      <c r="U1490" s="9"/>
      <c r="V1490" s="9"/>
      <c r="W1490" s="9"/>
      <c r="X1490" s="9"/>
    </row>
    <row r="1491" spans="1:24">
      <c r="A1491" s="13"/>
      <c r="B1491" s="1"/>
      <c r="C1491" s="1"/>
      <c r="D1491" s="3" t="str">
        <f>SUBTOTAL(9,D1485:D1490)</f>
        <v>0</v>
      </c>
      <c r="E1491"/>
      <c r="F1491"/>
      <c r="G1491"/>
      <c r="H1491"/>
      <c r="I1491"/>
      <c r="J1491"/>
      <c r="K1491"/>
      <c r="L1491"/>
      <c r="M1491" s="18" t="s">
        <v>442</v>
      </c>
      <c r="N1491" t="s">
        <v>1566</v>
      </c>
      <c r="O1491" t="s">
        <v>23</v>
      </c>
      <c r="P1491" s="1"/>
      <c r="Q1491" s="13"/>
      <c r="R1491"/>
      <c r="S1491"/>
      <c r="T1491"/>
      <c r="U1491" s="9"/>
      <c r="V1491" s="9"/>
      <c r="W1491" s="9"/>
      <c r="X1491" s="9"/>
    </row>
    <row r="1492" spans="1:24">
      <c r="A1492" s="13" t="s">
        <v>19</v>
      </c>
      <c r="B1492" s="1"/>
      <c r="C1492" s="1" t="s">
        <v>20</v>
      </c>
      <c r="D1492" s="3">
        <v>96000</v>
      </c>
      <c r="E1492"/>
      <c r="F1492"/>
      <c r="G1492"/>
      <c r="H1492"/>
      <c r="I1492"/>
      <c r="J1492"/>
      <c r="K1492"/>
      <c r="L1492"/>
      <c r="M1492" s="18" t="s">
        <v>443</v>
      </c>
      <c r="N1492" t="s">
        <v>1256</v>
      </c>
      <c r="O1492" t="s">
        <v>23</v>
      </c>
      <c r="P1492" s="1" t="s">
        <v>542</v>
      </c>
      <c r="Q1492" s="13" t="s">
        <v>25</v>
      </c>
      <c r="R1492">
        <v>3</v>
      </c>
      <c r="S1492">
        <v>32000</v>
      </c>
      <c r="T1492"/>
      <c r="U1492" s="9"/>
      <c r="V1492" s="9"/>
      <c r="W1492" s="9"/>
      <c r="X1492" s="9"/>
    </row>
    <row r="1493" spans="1:24">
      <c r="A1493" s="13" t="s">
        <v>19</v>
      </c>
      <c r="B1493" s="1"/>
      <c r="C1493" s="1" t="s">
        <v>20</v>
      </c>
      <c r="D1493" s="3">
        <v>90000</v>
      </c>
      <c r="E1493"/>
      <c r="F1493"/>
      <c r="G1493"/>
      <c r="H1493"/>
      <c r="I1493"/>
      <c r="J1493"/>
      <c r="K1493"/>
      <c r="L1493"/>
      <c r="M1493" s="18" t="s">
        <v>443</v>
      </c>
      <c r="N1493" t="s">
        <v>1256</v>
      </c>
      <c r="O1493" t="s">
        <v>23</v>
      </c>
      <c r="P1493" s="1" t="s">
        <v>944</v>
      </c>
      <c r="Q1493" s="13" t="s">
        <v>25</v>
      </c>
      <c r="R1493">
        <v>3</v>
      </c>
      <c r="S1493">
        <v>30000</v>
      </c>
      <c r="T1493"/>
      <c r="U1493" s="9"/>
      <c r="V1493" s="9"/>
      <c r="W1493" s="9"/>
      <c r="X1493" s="9"/>
    </row>
    <row r="1494" spans="1:24">
      <c r="A1494" s="13" t="s">
        <v>19</v>
      </c>
      <c r="B1494" s="1"/>
      <c r="C1494" s="1" t="s">
        <v>20</v>
      </c>
      <c r="D1494" s="3">
        <v>30000</v>
      </c>
      <c r="E1494"/>
      <c r="F1494"/>
      <c r="G1494"/>
      <c r="H1494"/>
      <c r="I1494"/>
      <c r="J1494"/>
      <c r="K1494"/>
      <c r="L1494"/>
      <c r="M1494" s="18" t="s">
        <v>443</v>
      </c>
      <c r="N1494" t="s">
        <v>1256</v>
      </c>
      <c r="O1494" t="s">
        <v>23</v>
      </c>
      <c r="P1494" s="1" t="s">
        <v>945</v>
      </c>
      <c r="Q1494" s="13" t="s">
        <v>25</v>
      </c>
      <c r="R1494">
        <v>1</v>
      </c>
      <c r="S1494">
        <v>30000</v>
      </c>
      <c r="T1494"/>
      <c r="U1494" s="9"/>
      <c r="V1494" s="9"/>
      <c r="W1494" s="9"/>
      <c r="X1494" s="9"/>
    </row>
    <row r="1495" spans="1:24">
      <c r="A1495" s="13" t="s">
        <v>19</v>
      </c>
      <c r="B1495" s="1"/>
      <c r="C1495" s="1" t="s">
        <v>20</v>
      </c>
      <c r="D1495" s="3">
        <v>64000</v>
      </c>
      <c r="E1495"/>
      <c r="F1495"/>
      <c r="G1495"/>
      <c r="H1495"/>
      <c r="I1495"/>
      <c r="J1495"/>
      <c r="K1495"/>
      <c r="L1495"/>
      <c r="M1495" s="18" t="s">
        <v>443</v>
      </c>
      <c r="N1495" t="s">
        <v>1256</v>
      </c>
      <c r="O1495" t="s">
        <v>23</v>
      </c>
      <c r="P1495" s="1" t="s">
        <v>946</v>
      </c>
      <c r="Q1495" s="13" t="s">
        <v>25</v>
      </c>
      <c r="R1495">
        <v>2</v>
      </c>
      <c r="S1495">
        <v>32000</v>
      </c>
      <c r="T1495"/>
      <c r="U1495" s="9"/>
      <c r="V1495" s="9"/>
      <c r="W1495" s="9"/>
      <c r="X1495" s="9"/>
    </row>
    <row r="1496" spans="1:24">
      <c r="A1496" s="13" t="s">
        <v>19</v>
      </c>
      <c r="B1496" s="1"/>
      <c r="C1496" s="1" t="s">
        <v>26</v>
      </c>
      <c r="D1496" s="3">
        <v>37000</v>
      </c>
      <c r="E1496"/>
      <c r="F1496"/>
      <c r="G1496"/>
      <c r="H1496"/>
      <c r="I1496"/>
      <c r="J1496"/>
      <c r="K1496"/>
      <c r="L1496"/>
      <c r="M1496" s="18" t="s">
        <v>443</v>
      </c>
      <c r="N1496" t="s">
        <v>1256</v>
      </c>
      <c r="O1496" t="s">
        <v>23</v>
      </c>
      <c r="P1496" s="1" t="s">
        <v>947</v>
      </c>
      <c r="Q1496" s="13" t="s">
        <v>25</v>
      </c>
      <c r="R1496">
        <v>1</v>
      </c>
      <c r="S1496">
        <v>37000</v>
      </c>
      <c r="T1496"/>
      <c r="U1496" s="9"/>
      <c r="V1496" s="9"/>
      <c r="W1496" s="9"/>
      <c r="X1496" s="9"/>
    </row>
    <row r="1497" spans="1:24">
      <c r="A1497" s="13" t="s">
        <v>19</v>
      </c>
      <c r="B1497" s="1"/>
      <c r="C1497" s="1" t="s">
        <v>26</v>
      </c>
      <c r="D1497" s="3">
        <v>37000</v>
      </c>
      <c r="E1497"/>
      <c r="F1497"/>
      <c r="G1497"/>
      <c r="H1497"/>
      <c r="I1497"/>
      <c r="J1497"/>
      <c r="K1497"/>
      <c r="L1497"/>
      <c r="M1497" s="18" t="s">
        <v>443</v>
      </c>
      <c r="N1497" t="s">
        <v>1256</v>
      </c>
      <c r="O1497" t="s">
        <v>23</v>
      </c>
      <c r="P1497" s="1" t="s">
        <v>948</v>
      </c>
      <c r="Q1497" s="13" t="s">
        <v>25</v>
      </c>
      <c r="R1497">
        <v>1</v>
      </c>
      <c r="S1497">
        <v>37000</v>
      </c>
      <c r="T1497"/>
      <c r="U1497" s="9"/>
      <c r="V1497" s="9"/>
      <c r="W1497" s="9"/>
      <c r="X1497" s="9"/>
    </row>
    <row r="1498" spans="1:24">
      <c r="A1498" s="13" t="s">
        <v>19</v>
      </c>
      <c r="B1498" s="1"/>
      <c r="C1498" s="1" t="s">
        <v>29</v>
      </c>
      <c r="D1498" s="3">
        <v>15000</v>
      </c>
      <c r="E1498"/>
      <c r="F1498"/>
      <c r="G1498"/>
      <c r="H1498"/>
      <c r="I1498"/>
      <c r="J1498"/>
      <c r="K1498"/>
      <c r="L1498"/>
      <c r="M1498" s="18" t="s">
        <v>443</v>
      </c>
      <c r="N1498" t="s">
        <v>1256</v>
      </c>
      <c r="O1498" t="s">
        <v>23</v>
      </c>
      <c r="P1498" s="1" t="s">
        <v>543</v>
      </c>
      <c r="Q1498" s="13" t="s">
        <v>25</v>
      </c>
      <c r="R1498">
        <v>3</v>
      </c>
      <c r="S1498">
        <v>5000</v>
      </c>
      <c r="T1498"/>
      <c r="U1498" s="9"/>
      <c r="V1498" s="9"/>
      <c r="W1498" s="9"/>
      <c r="X1498" s="9"/>
    </row>
    <row r="1499" spans="1:24">
      <c r="A1499" s="13" t="s">
        <v>19</v>
      </c>
      <c r="B1499" s="1"/>
      <c r="C1499" s="1" t="s">
        <v>29</v>
      </c>
      <c r="D1499" s="3">
        <v>21000</v>
      </c>
      <c r="E1499"/>
      <c r="F1499"/>
      <c r="G1499"/>
      <c r="H1499"/>
      <c r="I1499"/>
      <c r="J1499"/>
      <c r="K1499"/>
      <c r="L1499"/>
      <c r="M1499" s="18" t="s">
        <v>443</v>
      </c>
      <c r="N1499" t="s">
        <v>1256</v>
      </c>
      <c r="O1499" t="s">
        <v>23</v>
      </c>
      <c r="P1499" s="1" t="s">
        <v>949</v>
      </c>
      <c r="Q1499" s="13" t="s">
        <v>25</v>
      </c>
      <c r="R1499">
        <v>3</v>
      </c>
      <c r="S1499">
        <v>7000</v>
      </c>
      <c r="T1499"/>
      <c r="U1499" s="9"/>
      <c r="V1499" s="9"/>
      <c r="W1499" s="9"/>
      <c r="X1499" s="9"/>
    </row>
    <row r="1500" spans="1:24">
      <c r="A1500" s="13" t="s">
        <v>19</v>
      </c>
      <c r="B1500" s="1"/>
      <c r="C1500" s="1" t="s">
        <v>29</v>
      </c>
      <c r="D1500" s="3">
        <v>7000</v>
      </c>
      <c r="E1500"/>
      <c r="F1500"/>
      <c r="G1500"/>
      <c r="H1500"/>
      <c r="I1500"/>
      <c r="J1500"/>
      <c r="K1500"/>
      <c r="L1500"/>
      <c r="M1500" s="18" t="s">
        <v>443</v>
      </c>
      <c r="N1500" t="s">
        <v>1256</v>
      </c>
      <c r="O1500" t="s">
        <v>23</v>
      </c>
      <c r="P1500" s="1" t="s">
        <v>950</v>
      </c>
      <c r="Q1500" s="13" t="s">
        <v>25</v>
      </c>
      <c r="R1500">
        <v>1</v>
      </c>
      <c r="S1500">
        <v>7000</v>
      </c>
      <c r="T1500"/>
      <c r="U1500" s="9"/>
      <c r="V1500" s="9"/>
      <c r="W1500" s="9"/>
      <c r="X1500" s="9"/>
    </row>
    <row r="1501" spans="1:24">
      <c r="A1501" s="13" t="s">
        <v>19</v>
      </c>
      <c r="B1501" s="1"/>
      <c r="C1501" s="1" t="s">
        <v>29</v>
      </c>
      <c r="D1501" s="3">
        <v>10000</v>
      </c>
      <c r="E1501"/>
      <c r="F1501"/>
      <c r="G1501"/>
      <c r="H1501"/>
      <c r="I1501"/>
      <c r="J1501"/>
      <c r="K1501"/>
      <c r="L1501"/>
      <c r="M1501" s="18" t="s">
        <v>443</v>
      </c>
      <c r="N1501" t="s">
        <v>1256</v>
      </c>
      <c r="O1501" t="s">
        <v>23</v>
      </c>
      <c r="P1501" s="1" t="s">
        <v>951</v>
      </c>
      <c r="Q1501" s="13" t="s">
        <v>25</v>
      </c>
      <c r="R1501">
        <v>2</v>
      </c>
      <c r="S1501">
        <v>5000</v>
      </c>
      <c r="T1501"/>
      <c r="U1501" s="9"/>
      <c r="V1501" s="9"/>
      <c r="W1501" s="9"/>
      <c r="X1501" s="9"/>
    </row>
    <row r="1502" spans="1:24">
      <c r="A1502" s="13" t="s">
        <v>19</v>
      </c>
      <c r="B1502" s="1"/>
      <c r="C1502" s="1" t="s">
        <v>32</v>
      </c>
      <c r="D1502" s="3">
        <v>5000</v>
      </c>
      <c r="E1502"/>
      <c r="F1502"/>
      <c r="G1502"/>
      <c r="H1502"/>
      <c r="I1502"/>
      <c r="J1502"/>
      <c r="K1502"/>
      <c r="L1502"/>
      <c r="M1502" s="18" t="s">
        <v>443</v>
      </c>
      <c r="N1502" t="s">
        <v>1256</v>
      </c>
      <c r="O1502" t="s">
        <v>23</v>
      </c>
      <c r="P1502" s="1" t="s">
        <v>952</v>
      </c>
      <c r="Q1502" s="13" t="s">
        <v>25</v>
      </c>
      <c r="R1502">
        <v>1</v>
      </c>
      <c r="S1502">
        <v>5000</v>
      </c>
      <c r="T1502"/>
      <c r="U1502" s="9"/>
      <c r="V1502" s="9"/>
      <c r="W1502" s="9"/>
      <c r="X1502" s="9"/>
    </row>
    <row r="1503" spans="1:24">
      <c r="A1503" s="13" t="s">
        <v>19</v>
      </c>
      <c r="B1503" s="1"/>
      <c r="C1503" s="1" t="s">
        <v>32</v>
      </c>
      <c r="D1503" s="3">
        <v>5000</v>
      </c>
      <c r="E1503"/>
      <c r="F1503"/>
      <c r="G1503"/>
      <c r="H1503"/>
      <c r="I1503"/>
      <c r="J1503"/>
      <c r="K1503"/>
      <c r="L1503"/>
      <c r="M1503" s="18" t="s">
        <v>443</v>
      </c>
      <c r="N1503" t="s">
        <v>1256</v>
      </c>
      <c r="O1503" t="s">
        <v>23</v>
      </c>
      <c r="P1503" s="1" t="s">
        <v>953</v>
      </c>
      <c r="Q1503" s="13" t="s">
        <v>25</v>
      </c>
      <c r="R1503">
        <v>1</v>
      </c>
      <c r="S1503">
        <v>5000</v>
      </c>
      <c r="T1503"/>
      <c r="U1503" s="9"/>
      <c r="V1503" s="9"/>
      <c r="W1503" s="9"/>
      <c r="X1503" s="9"/>
    </row>
    <row r="1504" spans="1:24">
      <c r="A1504" s="13"/>
      <c r="B1504" s="1"/>
      <c r="C1504" s="1"/>
      <c r="D1504" s="3" t="str">
        <f>SUBTOTAL(9,D1492:D1503)</f>
        <v>0</v>
      </c>
      <c r="E1504"/>
      <c r="F1504"/>
      <c r="G1504"/>
      <c r="H1504"/>
      <c r="I1504"/>
      <c r="J1504"/>
      <c r="K1504"/>
      <c r="L1504"/>
      <c r="M1504" s="18" t="s">
        <v>444</v>
      </c>
      <c r="N1504" t="s">
        <v>1567</v>
      </c>
      <c r="O1504" t="s">
        <v>23</v>
      </c>
      <c r="P1504" s="1"/>
      <c r="Q1504" s="13"/>
      <c r="R1504"/>
      <c r="S1504"/>
      <c r="T1504"/>
      <c r="U1504" s="9"/>
      <c r="V1504" s="9"/>
      <c r="W1504" s="9"/>
      <c r="X1504" s="9"/>
    </row>
    <row r="1505" spans="1:24">
      <c r="A1505" s="13" t="s">
        <v>19</v>
      </c>
      <c r="B1505" s="1"/>
      <c r="C1505" s="1" t="s">
        <v>20</v>
      </c>
      <c r="D1505" s="3">
        <v>30000</v>
      </c>
      <c r="E1505"/>
      <c r="F1505"/>
      <c r="G1505"/>
      <c r="H1505"/>
      <c r="I1505"/>
      <c r="J1505"/>
      <c r="K1505"/>
      <c r="L1505"/>
      <c r="M1505" s="18" t="s">
        <v>445</v>
      </c>
      <c r="N1505" t="s">
        <v>1156</v>
      </c>
      <c r="O1505" t="s">
        <v>98</v>
      </c>
      <c r="P1505" s="1" t="s">
        <v>24</v>
      </c>
      <c r="Q1505" s="13" t="s">
        <v>25</v>
      </c>
      <c r="R1505">
        <v>1</v>
      </c>
      <c r="S1505">
        <v>30000</v>
      </c>
      <c r="T1505"/>
      <c r="U1505" s="9"/>
      <c r="V1505" s="9"/>
      <c r="W1505" s="9"/>
      <c r="X1505" s="9"/>
    </row>
    <row r="1506" spans="1:24">
      <c r="A1506" s="13" t="s">
        <v>19</v>
      </c>
      <c r="B1506" s="1"/>
      <c r="C1506" s="1" t="s">
        <v>20</v>
      </c>
      <c r="D1506" s="3">
        <v>30000</v>
      </c>
      <c r="E1506"/>
      <c r="F1506"/>
      <c r="G1506"/>
      <c r="H1506"/>
      <c r="I1506"/>
      <c r="J1506"/>
      <c r="K1506"/>
      <c r="L1506"/>
      <c r="M1506" s="18" t="s">
        <v>445</v>
      </c>
      <c r="N1506" t="s">
        <v>1156</v>
      </c>
      <c r="O1506" t="s">
        <v>98</v>
      </c>
      <c r="P1506" s="1" t="s">
        <v>24</v>
      </c>
      <c r="Q1506" s="13" t="s">
        <v>25</v>
      </c>
      <c r="R1506">
        <v>1</v>
      </c>
      <c r="S1506">
        <v>30000</v>
      </c>
      <c r="T1506"/>
      <c r="U1506" s="9"/>
      <c r="V1506" s="9"/>
      <c r="W1506" s="9"/>
      <c r="X1506" s="9"/>
    </row>
    <row r="1507" spans="1:24">
      <c r="A1507" s="13" t="s">
        <v>19</v>
      </c>
      <c r="B1507" s="1"/>
      <c r="C1507" s="1" t="s">
        <v>20</v>
      </c>
      <c r="D1507" s="3">
        <v>30000</v>
      </c>
      <c r="E1507"/>
      <c r="F1507"/>
      <c r="G1507"/>
      <c r="H1507"/>
      <c r="I1507"/>
      <c r="J1507"/>
      <c r="K1507"/>
      <c r="L1507"/>
      <c r="M1507" s="18" t="s">
        <v>445</v>
      </c>
      <c r="N1507" t="s">
        <v>1156</v>
      </c>
      <c r="O1507" t="s">
        <v>98</v>
      </c>
      <c r="P1507" s="1" t="s">
        <v>24</v>
      </c>
      <c r="Q1507" s="13" t="s">
        <v>25</v>
      </c>
      <c r="R1507">
        <v>1</v>
      </c>
      <c r="S1507">
        <v>30000</v>
      </c>
      <c r="T1507"/>
      <c r="U1507" s="9"/>
      <c r="V1507" s="9"/>
      <c r="W1507" s="9"/>
      <c r="X1507" s="9"/>
    </row>
    <row r="1508" spans="1:24">
      <c r="A1508" s="13" t="s">
        <v>19</v>
      </c>
      <c r="B1508" s="1"/>
      <c r="C1508" s="1" t="s">
        <v>20</v>
      </c>
      <c r="D1508" s="3">
        <v>30000</v>
      </c>
      <c r="E1508"/>
      <c r="F1508"/>
      <c r="G1508"/>
      <c r="H1508"/>
      <c r="I1508"/>
      <c r="J1508"/>
      <c r="K1508"/>
      <c r="L1508"/>
      <c r="M1508" s="18" t="s">
        <v>445</v>
      </c>
      <c r="N1508" t="s">
        <v>1156</v>
      </c>
      <c r="O1508" t="s">
        <v>98</v>
      </c>
      <c r="P1508" s="1" t="s">
        <v>24</v>
      </c>
      <c r="Q1508" s="13" t="s">
        <v>25</v>
      </c>
      <c r="R1508">
        <v>1</v>
      </c>
      <c r="S1508">
        <v>30000</v>
      </c>
      <c r="T1508"/>
      <c r="U1508" s="9"/>
      <c r="V1508" s="9"/>
      <c r="W1508" s="9"/>
      <c r="X1508" s="9"/>
    </row>
    <row r="1509" spans="1:24">
      <c r="A1509" s="13" t="s">
        <v>19</v>
      </c>
      <c r="B1509" s="1"/>
      <c r="C1509" s="1" t="s">
        <v>20</v>
      </c>
      <c r="D1509" s="3">
        <v>30000</v>
      </c>
      <c r="E1509"/>
      <c r="F1509"/>
      <c r="G1509"/>
      <c r="H1509"/>
      <c r="I1509"/>
      <c r="J1509"/>
      <c r="K1509"/>
      <c r="L1509"/>
      <c r="M1509" s="18" t="s">
        <v>445</v>
      </c>
      <c r="N1509" t="s">
        <v>1156</v>
      </c>
      <c r="O1509" t="s">
        <v>98</v>
      </c>
      <c r="P1509" s="1" t="s">
        <v>909</v>
      </c>
      <c r="Q1509" s="13" t="s">
        <v>25</v>
      </c>
      <c r="R1509">
        <v>1</v>
      </c>
      <c r="S1509">
        <v>30000</v>
      </c>
      <c r="T1509"/>
      <c r="U1509" s="9"/>
      <c r="V1509" s="9"/>
      <c r="W1509" s="9"/>
      <c r="X1509" s="9"/>
    </row>
    <row r="1510" spans="1:24">
      <c r="A1510" s="13" t="s">
        <v>19</v>
      </c>
      <c r="B1510" s="1"/>
      <c r="C1510" s="1" t="s">
        <v>26</v>
      </c>
      <c r="D1510" s="3">
        <v>32000</v>
      </c>
      <c r="E1510"/>
      <c r="F1510"/>
      <c r="G1510"/>
      <c r="H1510"/>
      <c r="I1510"/>
      <c r="J1510"/>
      <c r="K1510"/>
      <c r="L1510"/>
      <c r="M1510" s="18" t="s">
        <v>445</v>
      </c>
      <c r="N1510" t="s">
        <v>1156</v>
      </c>
      <c r="O1510" t="s">
        <v>98</v>
      </c>
      <c r="P1510" s="1" t="s">
        <v>512</v>
      </c>
      <c r="Q1510" s="13" t="s">
        <v>25</v>
      </c>
      <c r="R1510">
        <v>1</v>
      </c>
      <c r="S1510">
        <v>32000</v>
      </c>
      <c r="T1510"/>
      <c r="U1510" s="9"/>
      <c r="V1510" s="9"/>
      <c r="W1510" s="9"/>
      <c r="X1510" s="9"/>
    </row>
    <row r="1511" spans="1:24">
      <c r="A1511" s="13" t="s">
        <v>19</v>
      </c>
      <c r="B1511" s="1"/>
      <c r="C1511" s="1" t="s">
        <v>26</v>
      </c>
      <c r="D1511" s="3">
        <v>37000</v>
      </c>
      <c r="E1511"/>
      <c r="F1511"/>
      <c r="G1511"/>
      <c r="H1511"/>
      <c r="I1511"/>
      <c r="J1511"/>
      <c r="K1511"/>
      <c r="L1511"/>
      <c r="M1511" s="18" t="s">
        <v>445</v>
      </c>
      <c r="N1511" t="s">
        <v>1156</v>
      </c>
      <c r="O1511" t="s">
        <v>98</v>
      </c>
      <c r="P1511" s="1" t="s">
        <v>954</v>
      </c>
      <c r="Q1511" s="13" t="s">
        <v>25</v>
      </c>
      <c r="R1511">
        <v>1</v>
      </c>
      <c r="S1511">
        <v>37000</v>
      </c>
      <c r="T1511"/>
      <c r="U1511" s="9"/>
      <c r="V1511" s="9"/>
      <c r="W1511" s="9"/>
      <c r="X1511" s="9"/>
    </row>
    <row r="1512" spans="1:24">
      <c r="A1512" s="13" t="s">
        <v>19</v>
      </c>
      <c r="B1512" s="1"/>
      <c r="C1512" s="1" t="s">
        <v>26</v>
      </c>
      <c r="D1512" s="3">
        <v>37000</v>
      </c>
      <c r="E1512"/>
      <c r="F1512"/>
      <c r="G1512"/>
      <c r="H1512"/>
      <c r="I1512"/>
      <c r="J1512"/>
      <c r="K1512"/>
      <c r="L1512"/>
      <c r="M1512" s="18" t="s">
        <v>445</v>
      </c>
      <c r="N1512" t="s">
        <v>1156</v>
      </c>
      <c r="O1512" t="s">
        <v>98</v>
      </c>
      <c r="P1512" s="1" t="s">
        <v>955</v>
      </c>
      <c r="Q1512" s="13" t="s">
        <v>25</v>
      </c>
      <c r="R1512">
        <v>1</v>
      </c>
      <c r="S1512">
        <v>37000</v>
      </c>
      <c r="T1512"/>
      <c r="U1512" s="9"/>
      <c r="V1512" s="9"/>
      <c r="W1512" s="9"/>
      <c r="X1512" s="9"/>
    </row>
    <row r="1513" spans="1:24">
      <c r="A1513" s="13" t="s">
        <v>19</v>
      </c>
      <c r="B1513" s="1"/>
      <c r="C1513" s="1" t="s">
        <v>26</v>
      </c>
      <c r="D1513" s="3">
        <v>37000</v>
      </c>
      <c r="E1513"/>
      <c r="F1513"/>
      <c r="G1513"/>
      <c r="H1513"/>
      <c r="I1513"/>
      <c r="J1513"/>
      <c r="K1513"/>
      <c r="L1513"/>
      <c r="M1513" s="18" t="s">
        <v>445</v>
      </c>
      <c r="N1513" t="s">
        <v>1156</v>
      </c>
      <c r="O1513" t="s">
        <v>98</v>
      </c>
      <c r="P1513" s="1" t="s">
        <v>956</v>
      </c>
      <c r="Q1513" s="13" t="s">
        <v>25</v>
      </c>
      <c r="R1513">
        <v>1</v>
      </c>
      <c r="S1513">
        <v>37000</v>
      </c>
      <c r="T1513"/>
      <c r="U1513" s="9"/>
      <c r="V1513" s="9"/>
      <c r="W1513" s="9"/>
      <c r="X1513" s="9"/>
    </row>
    <row r="1514" spans="1:24">
      <c r="A1514" s="13" t="s">
        <v>19</v>
      </c>
      <c r="B1514" s="1"/>
      <c r="C1514" s="1" t="s">
        <v>26</v>
      </c>
      <c r="D1514" s="3">
        <v>37000</v>
      </c>
      <c r="E1514"/>
      <c r="F1514"/>
      <c r="G1514"/>
      <c r="H1514"/>
      <c r="I1514"/>
      <c r="J1514"/>
      <c r="K1514"/>
      <c r="L1514"/>
      <c r="M1514" s="18" t="s">
        <v>445</v>
      </c>
      <c r="N1514" t="s">
        <v>1156</v>
      </c>
      <c r="O1514" t="s">
        <v>98</v>
      </c>
      <c r="P1514" s="1" t="s">
        <v>623</v>
      </c>
      <c r="Q1514" s="13" t="s">
        <v>25</v>
      </c>
      <c r="R1514">
        <v>1</v>
      </c>
      <c r="S1514">
        <v>37000</v>
      </c>
      <c r="T1514"/>
      <c r="U1514" s="9"/>
      <c r="V1514" s="9"/>
      <c r="W1514" s="9"/>
      <c r="X1514" s="9"/>
    </row>
    <row r="1515" spans="1:24">
      <c r="A1515" s="13" t="s">
        <v>19</v>
      </c>
      <c r="B1515" s="1"/>
      <c r="C1515" s="1" t="s">
        <v>29</v>
      </c>
      <c r="D1515" s="3">
        <v>5000</v>
      </c>
      <c r="E1515"/>
      <c r="F1515"/>
      <c r="G1515"/>
      <c r="H1515"/>
      <c r="I1515"/>
      <c r="J1515"/>
      <c r="K1515"/>
      <c r="L1515"/>
      <c r="M1515" s="18" t="s">
        <v>445</v>
      </c>
      <c r="N1515" t="s">
        <v>1156</v>
      </c>
      <c r="O1515" t="s">
        <v>98</v>
      </c>
      <c r="P1515" s="1" t="s">
        <v>30</v>
      </c>
      <c r="Q1515" s="13" t="s">
        <v>25</v>
      </c>
      <c r="R1515">
        <v>1</v>
      </c>
      <c r="S1515">
        <v>5000</v>
      </c>
      <c r="T1515"/>
      <c r="U1515" s="9"/>
      <c r="V1515" s="9"/>
      <c r="W1515" s="9"/>
      <c r="X1515" s="9"/>
    </row>
    <row r="1516" spans="1:24">
      <c r="A1516" s="13" t="s">
        <v>19</v>
      </c>
      <c r="B1516" s="1"/>
      <c r="C1516" s="1" t="s">
        <v>29</v>
      </c>
      <c r="D1516" s="3">
        <v>5000</v>
      </c>
      <c r="E1516"/>
      <c r="F1516"/>
      <c r="G1516"/>
      <c r="H1516"/>
      <c r="I1516"/>
      <c r="J1516"/>
      <c r="K1516"/>
      <c r="L1516"/>
      <c r="M1516" s="18" t="s">
        <v>445</v>
      </c>
      <c r="N1516" t="s">
        <v>1156</v>
      </c>
      <c r="O1516" t="s">
        <v>98</v>
      </c>
      <c r="P1516" s="1" t="s">
        <v>30</v>
      </c>
      <c r="Q1516" s="13" t="s">
        <v>25</v>
      </c>
      <c r="R1516">
        <v>1</v>
      </c>
      <c r="S1516">
        <v>5000</v>
      </c>
      <c r="T1516"/>
      <c r="U1516" s="9"/>
      <c r="V1516" s="9"/>
      <c r="W1516" s="9"/>
      <c r="X1516" s="9"/>
    </row>
    <row r="1517" spans="1:24">
      <c r="A1517" s="13" t="s">
        <v>19</v>
      </c>
      <c r="B1517" s="1"/>
      <c r="C1517" s="1" t="s">
        <v>29</v>
      </c>
      <c r="D1517" s="3">
        <v>5000</v>
      </c>
      <c r="E1517"/>
      <c r="F1517"/>
      <c r="G1517"/>
      <c r="H1517"/>
      <c r="I1517"/>
      <c r="J1517"/>
      <c r="K1517"/>
      <c r="L1517"/>
      <c r="M1517" s="18" t="s">
        <v>445</v>
      </c>
      <c r="N1517" t="s">
        <v>1156</v>
      </c>
      <c r="O1517" t="s">
        <v>98</v>
      </c>
      <c r="P1517" s="1" t="s">
        <v>30</v>
      </c>
      <c r="Q1517" s="13" t="s">
        <v>25</v>
      </c>
      <c r="R1517">
        <v>1</v>
      </c>
      <c r="S1517">
        <v>5000</v>
      </c>
      <c r="T1517"/>
      <c r="U1517" s="9"/>
      <c r="V1517" s="9"/>
      <c r="W1517" s="9"/>
      <c r="X1517" s="9"/>
    </row>
    <row r="1518" spans="1:24">
      <c r="A1518" s="13" t="s">
        <v>19</v>
      </c>
      <c r="B1518" s="1"/>
      <c r="C1518" s="1" t="s">
        <v>29</v>
      </c>
      <c r="D1518" s="3">
        <v>5000</v>
      </c>
      <c r="E1518"/>
      <c r="F1518"/>
      <c r="G1518"/>
      <c r="H1518"/>
      <c r="I1518"/>
      <c r="J1518"/>
      <c r="K1518"/>
      <c r="L1518"/>
      <c r="M1518" s="18" t="s">
        <v>445</v>
      </c>
      <c r="N1518" t="s">
        <v>1156</v>
      </c>
      <c r="O1518" t="s">
        <v>98</v>
      </c>
      <c r="P1518" s="1" t="s">
        <v>30</v>
      </c>
      <c r="Q1518" s="13" t="s">
        <v>25</v>
      </c>
      <c r="R1518">
        <v>1</v>
      </c>
      <c r="S1518">
        <v>5000</v>
      </c>
      <c r="T1518"/>
      <c r="U1518" s="9"/>
      <c r="V1518" s="9"/>
      <c r="W1518" s="9"/>
      <c r="X1518" s="9"/>
    </row>
    <row r="1519" spans="1:24">
      <c r="A1519" s="13" t="s">
        <v>19</v>
      </c>
      <c r="B1519" s="1"/>
      <c r="C1519" s="1" t="s">
        <v>29</v>
      </c>
      <c r="D1519" s="3">
        <v>5000</v>
      </c>
      <c r="E1519"/>
      <c r="F1519"/>
      <c r="G1519"/>
      <c r="H1519"/>
      <c r="I1519"/>
      <c r="J1519"/>
      <c r="K1519"/>
      <c r="L1519"/>
      <c r="M1519" s="18" t="s">
        <v>445</v>
      </c>
      <c r="N1519" t="s">
        <v>1156</v>
      </c>
      <c r="O1519" t="s">
        <v>98</v>
      </c>
      <c r="P1519" s="1" t="s">
        <v>917</v>
      </c>
      <c r="Q1519" s="13" t="s">
        <v>25</v>
      </c>
      <c r="R1519">
        <v>1</v>
      </c>
      <c r="S1519">
        <v>5000</v>
      </c>
      <c r="T1519"/>
      <c r="U1519" s="9"/>
      <c r="V1519" s="9"/>
      <c r="W1519" s="9"/>
      <c r="X1519" s="9"/>
    </row>
    <row r="1520" spans="1:24">
      <c r="A1520" s="13" t="s">
        <v>19</v>
      </c>
      <c r="B1520" s="1"/>
      <c r="C1520" s="1" t="s">
        <v>32</v>
      </c>
      <c r="D1520" s="3">
        <v>5000</v>
      </c>
      <c r="E1520"/>
      <c r="F1520"/>
      <c r="G1520"/>
      <c r="H1520"/>
      <c r="I1520"/>
      <c r="J1520"/>
      <c r="K1520"/>
      <c r="L1520"/>
      <c r="M1520" s="18" t="s">
        <v>445</v>
      </c>
      <c r="N1520" t="s">
        <v>1156</v>
      </c>
      <c r="O1520" t="s">
        <v>98</v>
      </c>
      <c r="P1520" s="1" t="s">
        <v>515</v>
      </c>
      <c r="Q1520" s="13" t="s">
        <v>25</v>
      </c>
      <c r="R1520">
        <v>1</v>
      </c>
      <c r="S1520">
        <v>5000</v>
      </c>
      <c r="T1520"/>
      <c r="U1520" s="9"/>
      <c r="V1520" s="9"/>
      <c r="W1520" s="9"/>
      <c r="X1520" s="9"/>
    </row>
    <row r="1521" spans="1:24">
      <c r="A1521" s="13" t="s">
        <v>19</v>
      </c>
      <c r="B1521" s="1"/>
      <c r="C1521" s="1" t="s">
        <v>32</v>
      </c>
      <c r="D1521" s="3">
        <v>5000</v>
      </c>
      <c r="E1521"/>
      <c r="F1521"/>
      <c r="G1521"/>
      <c r="H1521"/>
      <c r="I1521"/>
      <c r="J1521"/>
      <c r="K1521"/>
      <c r="L1521"/>
      <c r="M1521" s="18" t="s">
        <v>445</v>
      </c>
      <c r="N1521" t="s">
        <v>1156</v>
      </c>
      <c r="O1521" t="s">
        <v>98</v>
      </c>
      <c r="P1521" s="1" t="s">
        <v>957</v>
      </c>
      <c r="Q1521" s="13" t="s">
        <v>25</v>
      </c>
      <c r="R1521">
        <v>1</v>
      </c>
      <c r="S1521">
        <v>5000</v>
      </c>
      <c r="T1521"/>
      <c r="U1521" s="9"/>
      <c r="V1521" s="9"/>
      <c r="W1521" s="9"/>
      <c r="X1521" s="9"/>
    </row>
    <row r="1522" spans="1:24">
      <c r="A1522" s="13" t="s">
        <v>19</v>
      </c>
      <c r="B1522" s="1"/>
      <c r="C1522" s="1" t="s">
        <v>32</v>
      </c>
      <c r="D1522" s="3">
        <v>5000</v>
      </c>
      <c r="E1522"/>
      <c r="F1522"/>
      <c r="G1522"/>
      <c r="H1522"/>
      <c r="I1522"/>
      <c r="J1522"/>
      <c r="K1522"/>
      <c r="L1522"/>
      <c r="M1522" s="18" t="s">
        <v>445</v>
      </c>
      <c r="N1522" t="s">
        <v>1156</v>
      </c>
      <c r="O1522" t="s">
        <v>98</v>
      </c>
      <c r="P1522" s="1" t="s">
        <v>958</v>
      </c>
      <c r="Q1522" s="13" t="s">
        <v>25</v>
      </c>
      <c r="R1522">
        <v>1</v>
      </c>
      <c r="S1522">
        <v>5000</v>
      </c>
      <c r="T1522"/>
      <c r="U1522" s="9"/>
      <c r="V1522" s="9"/>
      <c r="W1522" s="9"/>
      <c r="X1522" s="9"/>
    </row>
    <row r="1523" spans="1:24">
      <c r="A1523" s="13" t="s">
        <v>19</v>
      </c>
      <c r="B1523" s="1"/>
      <c r="C1523" s="1" t="s">
        <v>32</v>
      </c>
      <c r="D1523" s="3">
        <v>5000</v>
      </c>
      <c r="E1523"/>
      <c r="F1523"/>
      <c r="G1523"/>
      <c r="H1523"/>
      <c r="I1523"/>
      <c r="J1523"/>
      <c r="K1523"/>
      <c r="L1523"/>
      <c r="M1523" s="18" t="s">
        <v>445</v>
      </c>
      <c r="N1523" t="s">
        <v>1156</v>
      </c>
      <c r="O1523" t="s">
        <v>98</v>
      </c>
      <c r="P1523" s="1" t="s">
        <v>959</v>
      </c>
      <c r="Q1523" s="13" t="s">
        <v>25</v>
      </c>
      <c r="R1523">
        <v>1</v>
      </c>
      <c r="S1523">
        <v>5000</v>
      </c>
      <c r="T1523"/>
      <c r="U1523" s="9"/>
      <c r="V1523" s="9"/>
      <c r="W1523" s="9"/>
      <c r="X1523" s="9"/>
    </row>
    <row r="1524" spans="1:24">
      <c r="A1524" s="13" t="s">
        <v>19</v>
      </c>
      <c r="B1524" s="1"/>
      <c r="C1524" s="1" t="s">
        <v>32</v>
      </c>
      <c r="D1524" s="3">
        <v>5000</v>
      </c>
      <c r="E1524"/>
      <c r="F1524"/>
      <c r="G1524"/>
      <c r="H1524"/>
      <c r="I1524"/>
      <c r="J1524"/>
      <c r="K1524"/>
      <c r="L1524"/>
      <c r="M1524" s="18" t="s">
        <v>445</v>
      </c>
      <c r="N1524" t="s">
        <v>1156</v>
      </c>
      <c r="O1524" t="s">
        <v>98</v>
      </c>
      <c r="P1524" s="1" t="s">
        <v>628</v>
      </c>
      <c r="Q1524" s="13" t="s">
        <v>25</v>
      </c>
      <c r="R1524">
        <v>1</v>
      </c>
      <c r="S1524">
        <v>5000</v>
      </c>
      <c r="T1524"/>
      <c r="U1524" s="9"/>
      <c r="V1524" s="9"/>
      <c r="W1524" s="9"/>
      <c r="X1524" s="9"/>
    </row>
    <row r="1525" spans="1:24">
      <c r="A1525" s="13"/>
      <c r="B1525" s="1"/>
      <c r="C1525" s="1"/>
      <c r="D1525" s="3" t="str">
        <f>SUBTOTAL(9,D1505:D1524)</f>
        <v>0</v>
      </c>
      <c r="E1525"/>
      <c r="F1525"/>
      <c r="G1525"/>
      <c r="H1525"/>
      <c r="I1525"/>
      <c r="J1525"/>
      <c r="K1525"/>
      <c r="L1525"/>
      <c r="M1525" s="18" t="s">
        <v>446</v>
      </c>
      <c r="N1525" t="s">
        <v>1568</v>
      </c>
      <c r="O1525" t="s">
        <v>98</v>
      </c>
      <c r="P1525" s="1"/>
      <c r="Q1525" s="13"/>
      <c r="R1525"/>
      <c r="S1525"/>
      <c r="T1525"/>
      <c r="U1525" s="9"/>
      <c r="V1525" s="9"/>
      <c r="W1525" s="9"/>
      <c r="X1525" s="9"/>
    </row>
    <row r="1526" spans="1:24">
      <c r="A1526" s="13" t="s">
        <v>19</v>
      </c>
      <c r="B1526" s="1"/>
      <c r="C1526" s="1" t="s">
        <v>20</v>
      </c>
      <c r="D1526" s="3">
        <v>30000</v>
      </c>
      <c r="E1526"/>
      <c r="F1526"/>
      <c r="G1526"/>
      <c r="H1526"/>
      <c r="I1526"/>
      <c r="J1526"/>
      <c r="K1526"/>
      <c r="L1526"/>
      <c r="M1526" s="18" t="s">
        <v>447</v>
      </c>
      <c r="N1526" t="s">
        <v>1248</v>
      </c>
      <c r="O1526" t="s">
        <v>93</v>
      </c>
      <c r="P1526" s="1" t="s">
        <v>24</v>
      </c>
      <c r="Q1526" s="13" t="s">
        <v>25</v>
      </c>
      <c r="R1526">
        <v>1</v>
      </c>
      <c r="S1526">
        <v>30000</v>
      </c>
      <c r="T1526"/>
      <c r="U1526" s="9"/>
      <c r="V1526" s="9"/>
      <c r="W1526" s="9"/>
      <c r="X1526" s="9"/>
    </row>
    <row r="1527" spans="1:24">
      <c r="A1527" s="13" t="s">
        <v>19</v>
      </c>
      <c r="B1527" s="1"/>
      <c r="C1527" s="1" t="s">
        <v>20</v>
      </c>
      <c r="D1527" s="3">
        <v>90000</v>
      </c>
      <c r="E1527"/>
      <c r="F1527"/>
      <c r="G1527"/>
      <c r="H1527"/>
      <c r="I1527"/>
      <c r="J1527"/>
      <c r="K1527"/>
      <c r="L1527"/>
      <c r="M1527" s="18" t="s">
        <v>447</v>
      </c>
      <c r="N1527" t="s">
        <v>1248</v>
      </c>
      <c r="O1527" t="s">
        <v>93</v>
      </c>
      <c r="P1527" s="1" t="s">
        <v>24</v>
      </c>
      <c r="Q1527" s="13" t="s">
        <v>25</v>
      </c>
      <c r="R1527">
        <v>3</v>
      </c>
      <c r="S1527">
        <v>30000</v>
      </c>
      <c r="T1527"/>
      <c r="U1527" s="9"/>
      <c r="V1527" s="9"/>
      <c r="W1527" s="9"/>
      <c r="X1527" s="9"/>
    </row>
    <row r="1528" spans="1:24">
      <c r="A1528" s="13" t="s">
        <v>19</v>
      </c>
      <c r="B1528" s="1"/>
      <c r="C1528" s="1" t="s">
        <v>20</v>
      </c>
      <c r="D1528" s="3">
        <v>84000</v>
      </c>
      <c r="E1528"/>
      <c r="F1528"/>
      <c r="G1528"/>
      <c r="H1528"/>
      <c r="I1528"/>
      <c r="J1528"/>
      <c r="K1528"/>
      <c r="L1528"/>
      <c r="M1528" s="18" t="s">
        <v>447</v>
      </c>
      <c r="N1528" t="s">
        <v>1248</v>
      </c>
      <c r="O1528" t="s">
        <v>93</v>
      </c>
      <c r="P1528" s="1" t="s">
        <v>960</v>
      </c>
      <c r="Q1528" s="13" t="s">
        <v>25</v>
      </c>
      <c r="R1528">
        <v>3</v>
      </c>
      <c r="S1528">
        <v>28000</v>
      </c>
      <c r="T1528"/>
      <c r="U1528" s="9"/>
      <c r="V1528" s="9"/>
      <c r="W1528" s="9"/>
      <c r="X1528" s="9"/>
    </row>
    <row r="1529" spans="1:24">
      <c r="A1529" s="13" t="s">
        <v>19</v>
      </c>
      <c r="B1529" s="1"/>
      <c r="C1529" s="1" t="s">
        <v>20</v>
      </c>
      <c r="D1529" s="3">
        <v>90000</v>
      </c>
      <c r="E1529"/>
      <c r="F1529"/>
      <c r="G1529"/>
      <c r="H1529"/>
      <c r="I1529"/>
      <c r="J1529"/>
      <c r="K1529"/>
      <c r="L1529"/>
      <c r="M1529" s="18" t="s">
        <v>447</v>
      </c>
      <c r="N1529" t="s">
        <v>1248</v>
      </c>
      <c r="O1529" t="s">
        <v>93</v>
      </c>
      <c r="P1529" s="1" t="s">
        <v>24</v>
      </c>
      <c r="Q1529" s="13" t="s">
        <v>25</v>
      </c>
      <c r="R1529">
        <v>3</v>
      </c>
      <c r="S1529">
        <v>30000</v>
      </c>
      <c r="T1529"/>
      <c r="U1529" s="9"/>
      <c r="V1529" s="9"/>
      <c r="W1529" s="9"/>
      <c r="X1529" s="9"/>
    </row>
    <row r="1530" spans="1:24">
      <c r="A1530" s="13" t="s">
        <v>19</v>
      </c>
      <c r="B1530" s="1"/>
      <c r="C1530" s="1" t="s">
        <v>26</v>
      </c>
      <c r="D1530" s="3">
        <v>37000</v>
      </c>
      <c r="E1530"/>
      <c r="F1530"/>
      <c r="G1530"/>
      <c r="H1530"/>
      <c r="I1530"/>
      <c r="J1530"/>
      <c r="K1530"/>
      <c r="L1530"/>
      <c r="M1530" s="18" t="s">
        <v>447</v>
      </c>
      <c r="N1530" t="s">
        <v>1248</v>
      </c>
      <c r="O1530" t="s">
        <v>93</v>
      </c>
      <c r="P1530" s="1" t="s">
        <v>961</v>
      </c>
      <c r="Q1530" s="13" t="s">
        <v>25</v>
      </c>
      <c r="R1530">
        <v>1</v>
      </c>
      <c r="S1530">
        <v>37000</v>
      </c>
      <c r="T1530"/>
      <c r="U1530" s="9"/>
      <c r="V1530" s="9"/>
      <c r="W1530" s="9"/>
      <c r="X1530" s="9"/>
    </row>
    <row r="1531" spans="1:24">
      <c r="A1531" s="13" t="s">
        <v>19</v>
      </c>
      <c r="B1531" s="1"/>
      <c r="C1531" s="1" t="s">
        <v>26</v>
      </c>
      <c r="D1531" s="3">
        <v>37000</v>
      </c>
      <c r="E1531"/>
      <c r="F1531"/>
      <c r="G1531"/>
      <c r="H1531"/>
      <c r="I1531"/>
      <c r="J1531"/>
      <c r="K1531"/>
      <c r="L1531"/>
      <c r="M1531" s="18" t="s">
        <v>447</v>
      </c>
      <c r="N1531" t="s">
        <v>1248</v>
      </c>
      <c r="O1531" t="s">
        <v>93</v>
      </c>
      <c r="P1531" s="1" t="s">
        <v>930</v>
      </c>
      <c r="Q1531" s="13" t="s">
        <v>25</v>
      </c>
      <c r="R1531">
        <v>1</v>
      </c>
      <c r="S1531">
        <v>37000</v>
      </c>
      <c r="T1531"/>
      <c r="U1531" s="9"/>
      <c r="V1531" s="9"/>
      <c r="W1531" s="9"/>
      <c r="X1531" s="9"/>
    </row>
    <row r="1532" spans="1:24">
      <c r="A1532" s="13" t="s">
        <v>19</v>
      </c>
      <c r="B1532" s="1"/>
      <c r="C1532" s="1" t="s">
        <v>29</v>
      </c>
      <c r="D1532" s="3">
        <v>5000</v>
      </c>
      <c r="E1532"/>
      <c r="F1532"/>
      <c r="G1532"/>
      <c r="H1532"/>
      <c r="I1532"/>
      <c r="J1532"/>
      <c r="K1532"/>
      <c r="L1532"/>
      <c r="M1532" s="18" t="s">
        <v>447</v>
      </c>
      <c r="N1532" t="s">
        <v>1248</v>
      </c>
      <c r="O1532" t="s">
        <v>93</v>
      </c>
      <c r="P1532" s="1" t="s">
        <v>30</v>
      </c>
      <c r="Q1532" s="13" t="s">
        <v>25</v>
      </c>
      <c r="R1532">
        <v>1</v>
      </c>
      <c r="S1532">
        <v>5000</v>
      </c>
      <c r="T1532"/>
      <c r="U1532" s="9"/>
      <c r="V1532" s="9"/>
      <c r="W1532" s="9"/>
      <c r="X1532" s="9"/>
    </row>
    <row r="1533" spans="1:24">
      <c r="A1533" s="13" t="s">
        <v>19</v>
      </c>
      <c r="B1533" s="1"/>
      <c r="C1533" s="1" t="s">
        <v>29</v>
      </c>
      <c r="D1533" s="3">
        <v>15000</v>
      </c>
      <c r="E1533"/>
      <c r="F1533"/>
      <c r="G1533"/>
      <c r="H1533"/>
      <c r="I1533"/>
      <c r="J1533"/>
      <c r="K1533"/>
      <c r="L1533"/>
      <c r="M1533" s="18" t="s">
        <v>447</v>
      </c>
      <c r="N1533" t="s">
        <v>1248</v>
      </c>
      <c r="O1533" t="s">
        <v>93</v>
      </c>
      <c r="P1533" s="1" t="s">
        <v>30</v>
      </c>
      <c r="Q1533" s="13" t="s">
        <v>25</v>
      </c>
      <c r="R1533">
        <v>3</v>
      </c>
      <c r="S1533">
        <v>5000</v>
      </c>
      <c r="T1533"/>
      <c r="U1533" s="9"/>
      <c r="V1533" s="9"/>
      <c r="W1533" s="9"/>
      <c r="X1533" s="9"/>
    </row>
    <row r="1534" spans="1:24">
      <c r="A1534" s="13" t="s">
        <v>19</v>
      </c>
      <c r="B1534" s="1"/>
      <c r="C1534" s="1" t="s">
        <v>29</v>
      </c>
      <c r="D1534" s="3">
        <v>21000</v>
      </c>
      <c r="E1534"/>
      <c r="F1534"/>
      <c r="G1534"/>
      <c r="H1534"/>
      <c r="I1534"/>
      <c r="J1534"/>
      <c r="K1534"/>
      <c r="L1534"/>
      <c r="M1534" s="18" t="s">
        <v>447</v>
      </c>
      <c r="N1534" t="s">
        <v>1248</v>
      </c>
      <c r="O1534" t="s">
        <v>93</v>
      </c>
      <c r="P1534" s="1" t="s">
        <v>962</v>
      </c>
      <c r="Q1534" s="13" t="s">
        <v>25</v>
      </c>
      <c r="R1534">
        <v>3</v>
      </c>
      <c r="S1534">
        <v>7000</v>
      </c>
      <c r="T1534"/>
      <c r="U1534" s="9"/>
      <c r="V1534" s="9"/>
      <c r="W1534" s="9"/>
      <c r="X1534" s="9"/>
    </row>
    <row r="1535" spans="1:24">
      <c r="A1535" s="13" t="s">
        <v>19</v>
      </c>
      <c r="B1535" s="1"/>
      <c r="C1535" s="1" t="s">
        <v>29</v>
      </c>
      <c r="D1535" s="3">
        <v>15000</v>
      </c>
      <c r="E1535"/>
      <c r="F1535"/>
      <c r="G1535"/>
      <c r="H1535"/>
      <c r="I1535"/>
      <c r="J1535"/>
      <c r="K1535"/>
      <c r="L1535"/>
      <c r="M1535" s="18" t="s">
        <v>447</v>
      </c>
      <c r="N1535" t="s">
        <v>1248</v>
      </c>
      <c r="O1535" t="s">
        <v>93</v>
      </c>
      <c r="P1535" s="1" t="s">
        <v>30</v>
      </c>
      <c r="Q1535" s="13" t="s">
        <v>25</v>
      </c>
      <c r="R1535">
        <v>3</v>
      </c>
      <c r="S1535">
        <v>5000</v>
      </c>
      <c r="T1535"/>
      <c r="U1535" s="9"/>
      <c r="V1535" s="9"/>
      <c r="W1535" s="9"/>
      <c r="X1535" s="9"/>
    </row>
    <row r="1536" spans="1:24">
      <c r="A1536" s="13" t="s">
        <v>19</v>
      </c>
      <c r="B1536" s="1"/>
      <c r="C1536" s="1" t="s">
        <v>32</v>
      </c>
      <c r="D1536" s="3">
        <v>5000</v>
      </c>
      <c r="E1536"/>
      <c r="F1536"/>
      <c r="G1536"/>
      <c r="H1536"/>
      <c r="I1536"/>
      <c r="J1536"/>
      <c r="K1536"/>
      <c r="L1536"/>
      <c r="M1536" s="18" t="s">
        <v>447</v>
      </c>
      <c r="N1536" t="s">
        <v>1248</v>
      </c>
      <c r="O1536" t="s">
        <v>93</v>
      </c>
      <c r="P1536" s="1" t="s">
        <v>963</v>
      </c>
      <c r="Q1536" s="13" t="s">
        <v>25</v>
      </c>
      <c r="R1536">
        <v>1</v>
      </c>
      <c r="S1536">
        <v>5000</v>
      </c>
      <c r="T1536"/>
      <c r="U1536" s="9"/>
      <c r="V1536" s="9"/>
      <c r="W1536" s="9"/>
      <c r="X1536" s="9"/>
    </row>
    <row r="1537" spans="1:24">
      <c r="A1537" s="13" t="s">
        <v>19</v>
      </c>
      <c r="B1537" s="1"/>
      <c r="C1537" s="1" t="s">
        <v>32</v>
      </c>
      <c r="D1537" s="3">
        <v>5000</v>
      </c>
      <c r="E1537"/>
      <c r="F1537"/>
      <c r="G1537"/>
      <c r="H1537"/>
      <c r="I1537"/>
      <c r="J1537"/>
      <c r="K1537"/>
      <c r="L1537"/>
      <c r="M1537" s="18" t="s">
        <v>447</v>
      </c>
      <c r="N1537" t="s">
        <v>1248</v>
      </c>
      <c r="O1537" t="s">
        <v>93</v>
      </c>
      <c r="P1537" s="1" t="s">
        <v>932</v>
      </c>
      <c r="Q1537" s="13" t="s">
        <v>25</v>
      </c>
      <c r="R1537">
        <v>1</v>
      </c>
      <c r="S1537">
        <v>5000</v>
      </c>
      <c r="T1537"/>
      <c r="U1537" s="9"/>
      <c r="V1537" s="9"/>
      <c r="W1537" s="9"/>
      <c r="X1537" s="9"/>
    </row>
    <row r="1538" spans="1:24">
      <c r="A1538" s="13"/>
      <c r="B1538" s="1"/>
      <c r="C1538" s="1"/>
      <c r="D1538" s="3" t="str">
        <f>SUBTOTAL(9,D1526:D1537)</f>
        <v>0</v>
      </c>
      <c r="E1538"/>
      <c r="F1538"/>
      <c r="G1538"/>
      <c r="H1538"/>
      <c r="I1538"/>
      <c r="J1538"/>
      <c r="K1538"/>
      <c r="L1538"/>
      <c r="M1538" s="18" t="s">
        <v>448</v>
      </c>
      <c r="N1538" t="s">
        <v>1569</v>
      </c>
      <c r="O1538" t="s">
        <v>93</v>
      </c>
      <c r="P1538" s="1"/>
      <c r="Q1538" s="13"/>
      <c r="R1538"/>
      <c r="S1538"/>
      <c r="T1538"/>
      <c r="U1538" s="9"/>
      <c r="V1538" s="9"/>
      <c r="W1538" s="9"/>
      <c r="X1538" s="9"/>
    </row>
    <row r="1539" spans="1:24">
      <c r="A1539" s="13" t="s">
        <v>19</v>
      </c>
      <c r="B1539" s="1"/>
      <c r="C1539" s="1" t="s">
        <v>20</v>
      </c>
      <c r="D1539" s="3">
        <v>60000</v>
      </c>
      <c r="E1539"/>
      <c r="F1539"/>
      <c r="G1539"/>
      <c r="H1539"/>
      <c r="I1539"/>
      <c r="J1539"/>
      <c r="K1539"/>
      <c r="L1539"/>
      <c r="M1539" s="18" t="s">
        <v>449</v>
      </c>
      <c r="N1539" t="s">
        <v>1309</v>
      </c>
      <c r="O1539" t="s">
        <v>96</v>
      </c>
      <c r="P1539" s="1" t="s">
        <v>568</v>
      </c>
      <c r="Q1539" s="13" t="s">
        <v>1018</v>
      </c>
      <c r="R1539">
        <v>2</v>
      </c>
      <c r="S1539">
        <v>30000</v>
      </c>
      <c r="T1539"/>
      <c r="U1539" s="9"/>
      <c r="V1539" s="9"/>
      <c r="W1539" s="9"/>
      <c r="X1539" s="9"/>
    </row>
    <row r="1540" spans="1:24">
      <c r="A1540" s="13" t="s">
        <v>19</v>
      </c>
      <c r="B1540" s="1"/>
      <c r="C1540" s="1" t="s">
        <v>26</v>
      </c>
      <c r="D1540" s="3">
        <v>37000</v>
      </c>
      <c r="E1540"/>
      <c r="F1540"/>
      <c r="G1540"/>
      <c r="H1540"/>
      <c r="I1540"/>
      <c r="J1540"/>
      <c r="K1540"/>
      <c r="L1540"/>
      <c r="M1540" s="18" t="s">
        <v>449</v>
      </c>
      <c r="N1540" t="s">
        <v>1309</v>
      </c>
      <c r="O1540" t="s">
        <v>96</v>
      </c>
      <c r="P1540" s="1" t="s">
        <v>964</v>
      </c>
      <c r="Q1540" s="13" t="s">
        <v>1018</v>
      </c>
      <c r="R1540">
        <v>1</v>
      </c>
      <c r="S1540">
        <v>37000</v>
      </c>
      <c r="T1540"/>
      <c r="U1540" s="9"/>
      <c r="V1540" s="9"/>
      <c r="W1540" s="9"/>
      <c r="X1540" s="9"/>
    </row>
    <row r="1541" spans="1:24">
      <c r="A1541" s="13" t="s">
        <v>19</v>
      </c>
      <c r="B1541" s="1"/>
      <c r="C1541" s="1" t="s">
        <v>26</v>
      </c>
      <c r="D1541" s="3">
        <v>37000</v>
      </c>
      <c r="E1541"/>
      <c r="F1541"/>
      <c r="G1541"/>
      <c r="H1541"/>
      <c r="I1541"/>
      <c r="J1541"/>
      <c r="K1541"/>
      <c r="L1541"/>
      <c r="M1541" s="18" t="s">
        <v>449</v>
      </c>
      <c r="N1541" t="s">
        <v>1309</v>
      </c>
      <c r="O1541" t="s">
        <v>96</v>
      </c>
      <c r="P1541" s="1" t="s">
        <v>965</v>
      </c>
      <c r="Q1541" s="13" t="s">
        <v>1018</v>
      </c>
      <c r="R1541">
        <v>1</v>
      </c>
      <c r="S1541">
        <v>37000</v>
      </c>
      <c r="T1541"/>
      <c r="U1541" s="9"/>
      <c r="V1541" s="9"/>
      <c r="W1541" s="9"/>
      <c r="X1541" s="9"/>
    </row>
    <row r="1542" spans="1:24">
      <c r="A1542" s="13" t="s">
        <v>19</v>
      </c>
      <c r="B1542" s="1"/>
      <c r="C1542" s="1" t="s">
        <v>29</v>
      </c>
      <c r="D1542" s="3">
        <v>10000</v>
      </c>
      <c r="E1542"/>
      <c r="F1542"/>
      <c r="G1542"/>
      <c r="H1542"/>
      <c r="I1542"/>
      <c r="J1542"/>
      <c r="K1542"/>
      <c r="L1542"/>
      <c r="M1542" s="18" t="s">
        <v>449</v>
      </c>
      <c r="N1542" t="s">
        <v>1309</v>
      </c>
      <c r="O1542" t="s">
        <v>96</v>
      </c>
      <c r="P1542" s="1" t="s">
        <v>571</v>
      </c>
      <c r="Q1542" s="13" t="s">
        <v>1018</v>
      </c>
      <c r="R1542">
        <v>2</v>
      </c>
      <c r="S1542">
        <v>5000</v>
      </c>
      <c r="T1542"/>
      <c r="U1542" s="9"/>
      <c r="V1542" s="9"/>
      <c r="W1542" s="9"/>
      <c r="X1542" s="9"/>
    </row>
    <row r="1543" spans="1:24">
      <c r="A1543" s="13" t="s">
        <v>19</v>
      </c>
      <c r="B1543" s="1"/>
      <c r="C1543" s="1" t="s">
        <v>32</v>
      </c>
      <c r="D1543" s="3">
        <v>5000</v>
      </c>
      <c r="E1543"/>
      <c r="F1543"/>
      <c r="G1543"/>
      <c r="H1543"/>
      <c r="I1543"/>
      <c r="J1543"/>
      <c r="K1543"/>
      <c r="L1543"/>
      <c r="M1543" s="18" t="s">
        <v>449</v>
      </c>
      <c r="N1543" t="s">
        <v>1309</v>
      </c>
      <c r="O1543" t="s">
        <v>96</v>
      </c>
      <c r="P1543" s="1" t="s">
        <v>966</v>
      </c>
      <c r="Q1543" s="13" t="s">
        <v>1018</v>
      </c>
      <c r="R1543">
        <v>1</v>
      </c>
      <c r="S1543">
        <v>5000</v>
      </c>
      <c r="T1543"/>
      <c r="U1543" s="9"/>
      <c r="V1543" s="9"/>
      <c r="W1543" s="9"/>
      <c r="X1543" s="9"/>
    </row>
    <row r="1544" spans="1:24">
      <c r="A1544" s="13" t="s">
        <v>19</v>
      </c>
      <c r="B1544" s="1"/>
      <c r="C1544" s="1" t="s">
        <v>32</v>
      </c>
      <c r="D1544" s="3">
        <v>5000</v>
      </c>
      <c r="E1544"/>
      <c r="F1544"/>
      <c r="G1544"/>
      <c r="H1544"/>
      <c r="I1544"/>
      <c r="J1544"/>
      <c r="K1544"/>
      <c r="L1544"/>
      <c r="M1544" s="18" t="s">
        <v>449</v>
      </c>
      <c r="N1544" t="s">
        <v>1309</v>
      </c>
      <c r="O1544" t="s">
        <v>96</v>
      </c>
      <c r="P1544" s="1" t="s">
        <v>967</v>
      </c>
      <c r="Q1544" s="13" t="s">
        <v>1018</v>
      </c>
      <c r="R1544">
        <v>1</v>
      </c>
      <c r="S1544">
        <v>5000</v>
      </c>
      <c r="T1544"/>
      <c r="U1544" s="9"/>
      <c r="V1544" s="9"/>
      <c r="W1544" s="9"/>
      <c r="X1544" s="9"/>
    </row>
    <row r="1545" spans="1:24">
      <c r="A1545" s="13"/>
      <c r="B1545" s="1"/>
      <c r="C1545" s="1"/>
      <c r="D1545" s="3" t="str">
        <f>SUBTOTAL(9,D1539:D1544)</f>
        <v>0</v>
      </c>
      <c r="E1545"/>
      <c r="F1545"/>
      <c r="G1545"/>
      <c r="H1545"/>
      <c r="I1545"/>
      <c r="J1545"/>
      <c r="K1545"/>
      <c r="L1545"/>
      <c r="M1545" s="18" t="s">
        <v>450</v>
      </c>
      <c r="N1545" t="s">
        <v>1570</v>
      </c>
      <c r="O1545" t="s">
        <v>96</v>
      </c>
      <c r="P1545" s="1"/>
      <c r="Q1545" s="13"/>
      <c r="R1545"/>
      <c r="S1545"/>
      <c r="T1545"/>
      <c r="U1545" s="9"/>
      <c r="V1545" s="9"/>
      <c r="W1545" s="9"/>
      <c r="X1545" s="9"/>
    </row>
    <row r="1546" spans="1:24">
      <c r="A1546" s="13" t="s">
        <v>19</v>
      </c>
      <c r="B1546" s="1"/>
      <c r="C1546" s="1" t="s">
        <v>20</v>
      </c>
      <c r="D1546" s="3">
        <v>80000</v>
      </c>
      <c r="E1546"/>
      <c r="F1546"/>
      <c r="G1546"/>
      <c r="H1546"/>
      <c r="I1546"/>
      <c r="J1546"/>
      <c r="K1546"/>
      <c r="L1546"/>
      <c r="M1546" s="18" t="s">
        <v>451</v>
      </c>
      <c r="N1546" t="s">
        <v>1177</v>
      </c>
      <c r="O1546" t="s">
        <v>94</v>
      </c>
      <c r="P1546" s="1" t="s">
        <v>24</v>
      </c>
      <c r="Q1546" s="13" t="s">
        <v>1018</v>
      </c>
      <c r="R1546">
        <v>4</v>
      </c>
      <c r="S1546">
        <v>20000</v>
      </c>
      <c r="T1546"/>
      <c r="U1546" s="9"/>
      <c r="V1546" s="9"/>
      <c r="W1546" s="9"/>
      <c r="X1546" s="9"/>
    </row>
    <row r="1547" spans="1:24">
      <c r="A1547" s="13" t="s">
        <v>19</v>
      </c>
      <c r="B1547" s="1"/>
      <c r="C1547" s="1" t="s">
        <v>20</v>
      </c>
      <c r="D1547" s="3">
        <v>80000</v>
      </c>
      <c r="E1547"/>
      <c r="F1547"/>
      <c r="G1547"/>
      <c r="H1547"/>
      <c r="I1547"/>
      <c r="J1547"/>
      <c r="K1547"/>
      <c r="L1547"/>
      <c r="M1547" s="18" t="s">
        <v>451</v>
      </c>
      <c r="N1547" t="s">
        <v>1177</v>
      </c>
      <c r="O1547" t="s">
        <v>94</v>
      </c>
      <c r="P1547" s="1" t="s">
        <v>24</v>
      </c>
      <c r="Q1547" s="13" t="s">
        <v>1018</v>
      </c>
      <c r="R1547">
        <v>4</v>
      </c>
      <c r="S1547">
        <v>20000</v>
      </c>
      <c r="T1547"/>
      <c r="U1547" s="9"/>
      <c r="V1547" s="9"/>
      <c r="W1547" s="9"/>
      <c r="X1547" s="9"/>
    </row>
    <row r="1548" spans="1:24">
      <c r="A1548" s="13" t="s">
        <v>19</v>
      </c>
      <c r="B1548" s="1"/>
      <c r="C1548" s="1" t="s">
        <v>29</v>
      </c>
      <c r="D1548" s="3">
        <v>20000</v>
      </c>
      <c r="E1548"/>
      <c r="F1548"/>
      <c r="G1548"/>
      <c r="H1548"/>
      <c r="I1548"/>
      <c r="J1548"/>
      <c r="K1548"/>
      <c r="L1548"/>
      <c r="M1548" s="18" t="s">
        <v>451</v>
      </c>
      <c r="N1548" t="s">
        <v>1177</v>
      </c>
      <c r="O1548" t="s">
        <v>94</v>
      </c>
      <c r="P1548" s="1" t="s">
        <v>30</v>
      </c>
      <c r="Q1548" s="13" t="s">
        <v>1018</v>
      </c>
      <c r="R1548">
        <v>4</v>
      </c>
      <c r="S1548">
        <v>5000</v>
      </c>
      <c r="T1548"/>
      <c r="U1548" s="9"/>
      <c r="V1548" s="9"/>
      <c r="W1548" s="9"/>
      <c r="X1548" s="9"/>
    </row>
    <row r="1549" spans="1:24">
      <c r="A1549" s="13" t="s">
        <v>19</v>
      </c>
      <c r="B1549" s="1"/>
      <c r="C1549" s="1" t="s">
        <v>29</v>
      </c>
      <c r="D1549" s="3">
        <v>20000</v>
      </c>
      <c r="E1549"/>
      <c r="F1549"/>
      <c r="G1549"/>
      <c r="H1549"/>
      <c r="I1549"/>
      <c r="J1549"/>
      <c r="K1549"/>
      <c r="L1549"/>
      <c r="M1549" s="18" t="s">
        <v>451</v>
      </c>
      <c r="N1549" t="s">
        <v>1177</v>
      </c>
      <c r="O1549" t="s">
        <v>94</v>
      </c>
      <c r="P1549" s="1" t="s">
        <v>30</v>
      </c>
      <c r="Q1549" s="13" t="s">
        <v>1018</v>
      </c>
      <c r="R1549">
        <v>4</v>
      </c>
      <c r="S1549">
        <v>5000</v>
      </c>
      <c r="T1549"/>
      <c r="U1549" s="9"/>
      <c r="V1549" s="9"/>
      <c r="W1549" s="9"/>
      <c r="X1549" s="9"/>
    </row>
    <row r="1550" spans="1:24">
      <c r="A1550" s="13"/>
      <c r="B1550" s="1"/>
      <c r="C1550" s="1"/>
      <c r="D1550" s="3" t="str">
        <f>SUBTOTAL(9,D1546:D1549)</f>
        <v>0</v>
      </c>
      <c r="E1550"/>
      <c r="F1550"/>
      <c r="G1550"/>
      <c r="H1550"/>
      <c r="I1550"/>
      <c r="J1550"/>
      <c r="K1550"/>
      <c r="L1550"/>
      <c r="M1550" s="18" t="s">
        <v>452</v>
      </c>
      <c r="N1550" t="s">
        <v>1571</v>
      </c>
      <c r="O1550" t="s">
        <v>94</v>
      </c>
      <c r="P1550" s="1"/>
      <c r="Q1550" s="13"/>
      <c r="R1550"/>
      <c r="S1550"/>
      <c r="T1550"/>
      <c r="U1550" s="9"/>
      <c r="V1550" s="9"/>
      <c r="W1550" s="9"/>
      <c r="X1550" s="9"/>
    </row>
    <row r="1551" spans="1:24">
      <c r="A1551" s="13" t="s">
        <v>19</v>
      </c>
      <c r="B1551" s="1"/>
      <c r="C1551" s="1" t="s">
        <v>20</v>
      </c>
      <c r="D1551" s="3">
        <v>128000</v>
      </c>
      <c r="E1551"/>
      <c r="F1551"/>
      <c r="G1551"/>
      <c r="H1551"/>
      <c r="I1551"/>
      <c r="J1551"/>
      <c r="K1551"/>
      <c r="L1551"/>
      <c r="M1551" s="18" t="s">
        <v>453</v>
      </c>
      <c r="N1551" t="s">
        <v>1175</v>
      </c>
      <c r="O1551" t="s">
        <v>97</v>
      </c>
      <c r="P1551" s="1" t="s">
        <v>24</v>
      </c>
      <c r="Q1551" s="13" t="s">
        <v>1018</v>
      </c>
      <c r="R1551">
        <v>4</v>
      </c>
      <c r="S1551">
        <v>32000</v>
      </c>
      <c r="T1551"/>
      <c r="U1551" s="9"/>
      <c r="V1551" s="9"/>
      <c r="W1551" s="9"/>
      <c r="X1551" s="9"/>
    </row>
    <row r="1552" spans="1:24">
      <c r="A1552" s="13" t="s">
        <v>19</v>
      </c>
      <c r="B1552" s="1"/>
      <c r="C1552" s="1" t="s">
        <v>26</v>
      </c>
      <c r="D1552" s="3">
        <v>40000</v>
      </c>
      <c r="E1552"/>
      <c r="F1552"/>
      <c r="G1552"/>
      <c r="H1552"/>
      <c r="I1552"/>
      <c r="J1552"/>
      <c r="K1552"/>
      <c r="L1552"/>
      <c r="M1552" s="18" t="s">
        <v>453</v>
      </c>
      <c r="N1552" t="s">
        <v>1175</v>
      </c>
      <c r="O1552" t="s">
        <v>97</v>
      </c>
      <c r="P1552" s="1" t="s">
        <v>513</v>
      </c>
      <c r="Q1552" s="13" t="s">
        <v>1018</v>
      </c>
      <c r="R1552">
        <v>2</v>
      </c>
      <c r="S1552">
        <v>20000</v>
      </c>
      <c r="T1552"/>
      <c r="U1552" s="9"/>
      <c r="V1552" s="9"/>
      <c r="W1552" s="9"/>
      <c r="X1552" s="9"/>
    </row>
    <row r="1553" spans="1:24">
      <c r="A1553" s="13" t="s">
        <v>19</v>
      </c>
      <c r="B1553" s="1"/>
      <c r="C1553" s="1" t="s">
        <v>26</v>
      </c>
      <c r="D1553" s="3">
        <v>15000</v>
      </c>
      <c r="E1553"/>
      <c r="F1553"/>
      <c r="G1553"/>
      <c r="H1553"/>
      <c r="I1553"/>
      <c r="J1553"/>
      <c r="K1553"/>
      <c r="L1553"/>
      <c r="M1553" s="18" t="s">
        <v>453</v>
      </c>
      <c r="N1553" t="s">
        <v>1175</v>
      </c>
      <c r="O1553" t="s">
        <v>97</v>
      </c>
      <c r="P1553" s="1" t="s">
        <v>512</v>
      </c>
      <c r="Q1553" s="13" t="s">
        <v>1018</v>
      </c>
      <c r="R1553">
        <v>1</v>
      </c>
      <c r="S1553">
        <v>15000</v>
      </c>
      <c r="T1553"/>
      <c r="U1553" s="9"/>
      <c r="V1553" s="9"/>
      <c r="W1553" s="9"/>
      <c r="X1553" s="9"/>
    </row>
    <row r="1554" spans="1:24">
      <c r="A1554" s="13" t="s">
        <v>19</v>
      </c>
      <c r="B1554" s="1"/>
      <c r="C1554" s="1" t="s">
        <v>26</v>
      </c>
      <c r="D1554" s="3">
        <v>20000</v>
      </c>
      <c r="E1554"/>
      <c r="F1554"/>
      <c r="G1554"/>
      <c r="H1554"/>
      <c r="I1554"/>
      <c r="J1554"/>
      <c r="K1554"/>
      <c r="L1554"/>
      <c r="M1554" s="18" t="s">
        <v>453</v>
      </c>
      <c r="N1554" t="s">
        <v>1175</v>
      </c>
      <c r="O1554" t="s">
        <v>97</v>
      </c>
      <c r="P1554" s="1" t="s">
        <v>968</v>
      </c>
      <c r="Q1554" s="13" t="s">
        <v>1018</v>
      </c>
      <c r="R1554">
        <v>1</v>
      </c>
      <c r="S1554">
        <v>20000</v>
      </c>
      <c r="T1554"/>
      <c r="U1554" s="9"/>
      <c r="V1554" s="9"/>
      <c r="W1554" s="9"/>
      <c r="X1554" s="9"/>
    </row>
    <row r="1555" spans="1:24">
      <c r="A1555" s="13" t="s">
        <v>19</v>
      </c>
      <c r="B1555" s="1"/>
      <c r="C1555" s="1" t="s">
        <v>26</v>
      </c>
      <c r="D1555" s="3">
        <v>20000</v>
      </c>
      <c r="E1555"/>
      <c r="F1555"/>
      <c r="G1555"/>
      <c r="H1555"/>
      <c r="I1555"/>
      <c r="J1555"/>
      <c r="K1555"/>
      <c r="L1555"/>
      <c r="M1555" s="18" t="s">
        <v>453</v>
      </c>
      <c r="N1555" t="s">
        <v>1175</v>
      </c>
      <c r="O1555" t="s">
        <v>97</v>
      </c>
      <c r="P1555" s="1" t="s">
        <v>666</v>
      </c>
      <c r="Q1555" s="13" t="s">
        <v>1018</v>
      </c>
      <c r="R1555">
        <v>1</v>
      </c>
      <c r="S1555">
        <v>20000</v>
      </c>
      <c r="T1555"/>
      <c r="U1555" s="9"/>
      <c r="V1555" s="9"/>
      <c r="W1555" s="9"/>
      <c r="X1555" s="9"/>
    </row>
    <row r="1556" spans="1:24">
      <c r="A1556" s="13" t="s">
        <v>19</v>
      </c>
      <c r="B1556" s="1"/>
      <c r="C1556" s="1" t="s">
        <v>26</v>
      </c>
      <c r="D1556" s="3">
        <v>45000</v>
      </c>
      <c r="E1556"/>
      <c r="F1556"/>
      <c r="G1556"/>
      <c r="H1556"/>
      <c r="I1556"/>
      <c r="J1556"/>
      <c r="K1556"/>
      <c r="L1556"/>
      <c r="M1556" s="18" t="s">
        <v>453</v>
      </c>
      <c r="N1556" t="s">
        <v>1175</v>
      </c>
      <c r="O1556" t="s">
        <v>97</v>
      </c>
      <c r="P1556" s="1" t="s">
        <v>512</v>
      </c>
      <c r="Q1556" s="13" t="s">
        <v>1018</v>
      </c>
      <c r="R1556">
        <v>3</v>
      </c>
      <c r="S1556">
        <v>15000</v>
      </c>
      <c r="T1556"/>
      <c r="U1556" s="9"/>
      <c r="V1556" s="9"/>
      <c r="W1556" s="9"/>
      <c r="X1556" s="9"/>
    </row>
    <row r="1557" spans="1:24">
      <c r="A1557" s="13" t="s">
        <v>19</v>
      </c>
      <c r="B1557" s="1"/>
      <c r="C1557" s="1" t="s">
        <v>26</v>
      </c>
      <c r="D1557" s="3">
        <v>40000</v>
      </c>
      <c r="E1557"/>
      <c r="F1557"/>
      <c r="G1557"/>
      <c r="H1557"/>
      <c r="I1557"/>
      <c r="J1557"/>
      <c r="K1557"/>
      <c r="L1557"/>
      <c r="M1557" s="18" t="s">
        <v>453</v>
      </c>
      <c r="N1557" t="s">
        <v>1175</v>
      </c>
      <c r="O1557" t="s">
        <v>97</v>
      </c>
      <c r="P1557" s="1" t="s">
        <v>667</v>
      </c>
      <c r="Q1557" s="13" t="s">
        <v>1018</v>
      </c>
      <c r="R1557">
        <v>2</v>
      </c>
      <c r="S1557">
        <v>20000</v>
      </c>
      <c r="T1557"/>
      <c r="U1557" s="9"/>
      <c r="V1557" s="9"/>
      <c r="W1557" s="9"/>
      <c r="X1557" s="9"/>
    </row>
    <row r="1558" spans="1:24">
      <c r="A1558" s="13" t="s">
        <v>19</v>
      </c>
      <c r="B1558" s="1"/>
      <c r="C1558" s="1" t="s">
        <v>26</v>
      </c>
      <c r="D1558" s="3">
        <v>15000</v>
      </c>
      <c r="E1558"/>
      <c r="F1558"/>
      <c r="G1558"/>
      <c r="H1558"/>
      <c r="I1558"/>
      <c r="J1558"/>
      <c r="K1558"/>
      <c r="L1558"/>
      <c r="M1558" s="18" t="s">
        <v>453</v>
      </c>
      <c r="N1558" t="s">
        <v>1175</v>
      </c>
      <c r="O1558" t="s">
        <v>97</v>
      </c>
      <c r="P1558" s="1" t="s">
        <v>512</v>
      </c>
      <c r="Q1558" s="13" t="s">
        <v>1018</v>
      </c>
      <c r="R1558">
        <v>1</v>
      </c>
      <c r="S1558">
        <v>15000</v>
      </c>
      <c r="T1558"/>
      <c r="U1558" s="9"/>
      <c r="V1558" s="9"/>
      <c r="W1558" s="9"/>
      <c r="X1558" s="9"/>
    </row>
    <row r="1559" spans="1:24">
      <c r="A1559" s="13" t="s">
        <v>19</v>
      </c>
      <c r="B1559" s="1"/>
      <c r="C1559" s="1" t="s">
        <v>26</v>
      </c>
      <c r="D1559" s="3">
        <v>20000</v>
      </c>
      <c r="E1559"/>
      <c r="F1559"/>
      <c r="G1559"/>
      <c r="H1559"/>
      <c r="I1559"/>
      <c r="J1559"/>
      <c r="K1559"/>
      <c r="L1559"/>
      <c r="M1559" s="18" t="s">
        <v>453</v>
      </c>
      <c r="N1559" t="s">
        <v>1175</v>
      </c>
      <c r="O1559" t="s">
        <v>97</v>
      </c>
      <c r="P1559" s="1" t="s">
        <v>969</v>
      </c>
      <c r="Q1559" s="13" t="s">
        <v>1018</v>
      </c>
      <c r="R1559">
        <v>1</v>
      </c>
      <c r="S1559">
        <v>20000</v>
      </c>
      <c r="T1559"/>
      <c r="U1559" s="9"/>
      <c r="V1559" s="9"/>
      <c r="W1559" s="9"/>
      <c r="X1559" s="9"/>
    </row>
    <row r="1560" spans="1:24">
      <c r="A1560" s="13" t="s">
        <v>19</v>
      </c>
      <c r="B1560" s="1"/>
      <c r="C1560" s="1" t="s">
        <v>26</v>
      </c>
      <c r="D1560" s="3">
        <v>20000</v>
      </c>
      <c r="E1560"/>
      <c r="F1560"/>
      <c r="G1560"/>
      <c r="H1560"/>
      <c r="I1560"/>
      <c r="J1560"/>
      <c r="K1560"/>
      <c r="L1560"/>
      <c r="M1560" s="18" t="s">
        <v>453</v>
      </c>
      <c r="N1560" t="s">
        <v>1175</v>
      </c>
      <c r="O1560" t="s">
        <v>97</v>
      </c>
      <c r="P1560" s="1" t="s">
        <v>970</v>
      </c>
      <c r="Q1560" s="13" t="s">
        <v>1018</v>
      </c>
      <c r="R1560">
        <v>1</v>
      </c>
      <c r="S1560">
        <v>20000</v>
      </c>
      <c r="T1560"/>
      <c r="U1560" s="9"/>
      <c r="V1560" s="9"/>
      <c r="W1560" s="9"/>
      <c r="X1560" s="9"/>
    </row>
    <row r="1561" spans="1:24">
      <c r="A1561" s="13" t="s">
        <v>19</v>
      </c>
      <c r="B1561" s="1"/>
      <c r="C1561" s="1" t="s">
        <v>26</v>
      </c>
      <c r="D1561" s="3">
        <v>20000</v>
      </c>
      <c r="E1561"/>
      <c r="F1561"/>
      <c r="G1561"/>
      <c r="H1561"/>
      <c r="I1561"/>
      <c r="J1561"/>
      <c r="K1561"/>
      <c r="L1561"/>
      <c r="M1561" s="18" t="s">
        <v>453</v>
      </c>
      <c r="N1561" t="s">
        <v>1175</v>
      </c>
      <c r="O1561" t="s">
        <v>97</v>
      </c>
      <c r="P1561" s="1" t="s">
        <v>869</v>
      </c>
      <c r="Q1561" s="13" t="s">
        <v>1018</v>
      </c>
      <c r="R1561">
        <v>1</v>
      </c>
      <c r="S1561">
        <v>20000</v>
      </c>
      <c r="T1561"/>
      <c r="U1561" s="9"/>
      <c r="V1561" s="9"/>
      <c r="W1561" s="9"/>
      <c r="X1561" s="9"/>
    </row>
    <row r="1562" spans="1:24">
      <c r="A1562" s="13" t="s">
        <v>19</v>
      </c>
      <c r="B1562" s="1"/>
      <c r="C1562" s="1" t="s">
        <v>26</v>
      </c>
      <c r="D1562" s="3">
        <v>20000</v>
      </c>
      <c r="E1562"/>
      <c r="F1562"/>
      <c r="G1562"/>
      <c r="H1562"/>
      <c r="I1562"/>
      <c r="J1562"/>
      <c r="K1562"/>
      <c r="L1562"/>
      <c r="M1562" s="18" t="s">
        <v>453</v>
      </c>
      <c r="N1562" t="s">
        <v>1175</v>
      </c>
      <c r="O1562" t="s">
        <v>97</v>
      </c>
      <c r="P1562" s="1" t="s">
        <v>971</v>
      </c>
      <c r="Q1562" s="13" t="s">
        <v>1018</v>
      </c>
      <c r="R1562">
        <v>1</v>
      </c>
      <c r="S1562">
        <v>20000</v>
      </c>
      <c r="T1562"/>
      <c r="U1562" s="9"/>
      <c r="V1562" s="9"/>
      <c r="W1562" s="9"/>
      <c r="X1562" s="9"/>
    </row>
    <row r="1563" spans="1:24">
      <c r="A1563" s="13" t="s">
        <v>19</v>
      </c>
      <c r="B1563" s="1"/>
      <c r="C1563" s="1" t="s">
        <v>26</v>
      </c>
      <c r="D1563" s="3">
        <v>40000</v>
      </c>
      <c r="E1563"/>
      <c r="F1563"/>
      <c r="G1563"/>
      <c r="H1563"/>
      <c r="I1563"/>
      <c r="J1563"/>
      <c r="K1563"/>
      <c r="L1563"/>
      <c r="M1563" s="18" t="s">
        <v>453</v>
      </c>
      <c r="N1563" t="s">
        <v>1175</v>
      </c>
      <c r="O1563" t="s">
        <v>97</v>
      </c>
      <c r="P1563" s="1" t="s">
        <v>961</v>
      </c>
      <c r="Q1563" s="13" t="s">
        <v>1018</v>
      </c>
      <c r="R1563">
        <v>2</v>
      </c>
      <c r="S1563">
        <v>20000</v>
      </c>
      <c r="T1563"/>
      <c r="U1563" s="9"/>
      <c r="V1563" s="9"/>
      <c r="W1563" s="9"/>
      <c r="X1563" s="9"/>
    </row>
    <row r="1564" spans="1:24">
      <c r="A1564" s="13" t="s">
        <v>19</v>
      </c>
      <c r="B1564" s="1"/>
      <c r="C1564" s="1" t="s">
        <v>26</v>
      </c>
      <c r="D1564" s="3">
        <v>80000</v>
      </c>
      <c r="E1564"/>
      <c r="F1564"/>
      <c r="G1564"/>
      <c r="H1564"/>
      <c r="I1564"/>
      <c r="J1564"/>
      <c r="K1564"/>
      <c r="L1564"/>
      <c r="M1564" s="18" t="s">
        <v>453</v>
      </c>
      <c r="N1564" t="s">
        <v>1175</v>
      </c>
      <c r="O1564" t="s">
        <v>97</v>
      </c>
      <c r="P1564" s="1" t="s">
        <v>767</v>
      </c>
      <c r="Q1564" s="13" t="s">
        <v>1018</v>
      </c>
      <c r="R1564">
        <v>4</v>
      </c>
      <c r="S1564">
        <v>20000</v>
      </c>
      <c r="T1564"/>
      <c r="U1564" s="9"/>
      <c r="V1564" s="9"/>
      <c r="W1564" s="9"/>
      <c r="X1564" s="9"/>
    </row>
    <row r="1565" spans="1:24">
      <c r="A1565" s="13" t="s">
        <v>19</v>
      </c>
      <c r="B1565" s="1"/>
      <c r="C1565" s="1" t="s">
        <v>26</v>
      </c>
      <c r="D1565" s="3">
        <v>60000</v>
      </c>
      <c r="E1565"/>
      <c r="F1565"/>
      <c r="G1565"/>
      <c r="H1565"/>
      <c r="I1565"/>
      <c r="J1565"/>
      <c r="K1565"/>
      <c r="L1565"/>
      <c r="M1565" s="18" t="s">
        <v>453</v>
      </c>
      <c r="N1565" t="s">
        <v>1175</v>
      </c>
      <c r="O1565" t="s">
        <v>97</v>
      </c>
      <c r="P1565" s="1" t="s">
        <v>972</v>
      </c>
      <c r="Q1565" s="13" t="s">
        <v>1018</v>
      </c>
      <c r="R1565">
        <v>3</v>
      </c>
      <c r="S1565">
        <v>20000</v>
      </c>
      <c r="T1565"/>
      <c r="U1565" s="9"/>
      <c r="V1565" s="9"/>
      <c r="W1565" s="9"/>
      <c r="X1565" s="9"/>
    </row>
    <row r="1566" spans="1:24">
      <c r="A1566" s="13" t="s">
        <v>19</v>
      </c>
      <c r="B1566" s="1"/>
      <c r="C1566" s="1" t="s">
        <v>26</v>
      </c>
      <c r="D1566" s="3">
        <v>20000</v>
      </c>
      <c r="E1566"/>
      <c r="F1566"/>
      <c r="G1566"/>
      <c r="H1566"/>
      <c r="I1566"/>
      <c r="J1566"/>
      <c r="K1566"/>
      <c r="L1566"/>
      <c r="M1566" s="18" t="s">
        <v>453</v>
      </c>
      <c r="N1566" t="s">
        <v>1175</v>
      </c>
      <c r="O1566" t="s">
        <v>97</v>
      </c>
      <c r="P1566" s="1" t="s">
        <v>793</v>
      </c>
      <c r="Q1566" s="13" t="s">
        <v>1018</v>
      </c>
      <c r="R1566">
        <v>1</v>
      </c>
      <c r="S1566">
        <v>20000</v>
      </c>
      <c r="T1566"/>
      <c r="U1566" s="9"/>
      <c r="V1566" s="9"/>
      <c r="W1566" s="9"/>
      <c r="X1566" s="9"/>
    </row>
    <row r="1567" spans="1:24">
      <c r="A1567" s="13" t="s">
        <v>19</v>
      </c>
      <c r="B1567" s="1"/>
      <c r="C1567" s="1" t="s">
        <v>26</v>
      </c>
      <c r="D1567" s="3">
        <v>20000</v>
      </c>
      <c r="E1567"/>
      <c r="F1567"/>
      <c r="G1567"/>
      <c r="H1567"/>
      <c r="I1567"/>
      <c r="J1567"/>
      <c r="K1567"/>
      <c r="L1567"/>
      <c r="M1567" s="18" t="s">
        <v>453</v>
      </c>
      <c r="N1567" t="s">
        <v>1175</v>
      </c>
      <c r="O1567" t="s">
        <v>97</v>
      </c>
      <c r="P1567" s="1" t="s">
        <v>623</v>
      </c>
      <c r="Q1567" s="13" t="s">
        <v>1018</v>
      </c>
      <c r="R1567">
        <v>1</v>
      </c>
      <c r="S1567">
        <v>20000</v>
      </c>
      <c r="T1567"/>
      <c r="U1567" s="9"/>
      <c r="V1567" s="9"/>
      <c r="W1567" s="9"/>
      <c r="X1567" s="9"/>
    </row>
    <row r="1568" spans="1:24">
      <c r="A1568" s="13" t="s">
        <v>19</v>
      </c>
      <c r="B1568" s="1"/>
      <c r="C1568" s="1" t="s">
        <v>26</v>
      </c>
      <c r="D1568" s="3">
        <v>20000</v>
      </c>
      <c r="E1568"/>
      <c r="F1568"/>
      <c r="G1568"/>
      <c r="H1568"/>
      <c r="I1568"/>
      <c r="J1568"/>
      <c r="K1568"/>
      <c r="L1568"/>
      <c r="M1568" s="18" t="s">
        <v>453</v>
      </c>
      <c r="N1568" t="s">
        <v>1175</v>
      </c>
      <c r="O1568" t="s">
        <v>97</v>
      </c>
      <c r="P1568" s="1" t="s">
        <v>623</v>
      </c>
      <c r="Q1568" s="13" t="s">
        <v>1018</v>
      </c>
      <c r="R1568">
        <v>1</v>
      </c>
      <c r="S1568">
        <v>20000</v>
      </c>
      <c r="T1568"/>
      <c r="U1568" s="9"/>
      <c r="V1568" s="9"/>
      <c r="W1568" s="9"/>
      <c r="X1568" s="9"/>
    </row>
    <row r="1569" spans="1:24">
      <c r="A1569" s="13" t="s">
        <v>19</v>
      </c>
      <c r="B1569" s="1"/>
      <c r="C1569" s="1" t="s">
        <v>26</v>
      </c>
      <c r="D1569" s="3">
        <v>20000</v>
      </c>
      <c r="E1569"/>
      <c r="F1569"/>
      <c r="G1569"/>
      <c r="H1569"/>
      <c r="I1569"/>
      <c r="J1569"/>
      <c r="K1569"/>
      <c r="L1569"/>
      <c r="M1569" s="18" t="s">
        <v>453</v>
      </c>
      <c r="N1569" t="s">
        <v>1175</v>
      </c>
      <c r="O1569" t="s">
        <v>97</v>
      </c>
      <c r="P1569" s="1" t="s">
        <v>623</v>
      </c>
      <c r="Q1569" s="13" t="s">
        <v>1018</v>
      </c>
      <c r="R1569">
        <v>1</v>
      </c>
      <c r="S1569">
        <v>20000</v>
      </c>
      <c r="T1569"/>
      <c r="U1569" s="9"/>
      <c r="V1569" s="9"/>
      <c r="W1569" s="9"/>
      <c r="X1569" s="9"/>
    </row>
    <row r="1570" spans="1:24">
      <c r="A1570" s="13" t="s">
        <v>19</v>
      </c>
      <c r="B1570" s="1"/>
      <c r="C1570" s="1" t="s">
        <v>26</v>
      </c>
      <c r="D1570" s="3">
        <v>20000</v>
      </c>
      <c r="E1570"/>
      <c r="F1570"/>
      <c r="G1570"/>
      <c r="H1570"/>
      <c r="I1570"/>
      <c r="J1570"/>
      <c r="K1570"/>
      <c r="L1570"/>
      <c r="M1570" s="18" t="s">
        <v>453</v>
      </c>
      <c r="N1570" t="s">
        <v>1175</v>
      </c>
      <c r="O1570" t="s">
        <v>97</v>
      </c>
      <c r="P1570" s="1" t="s">
        <v>790</v>
      </c>
      <c r="Q1570" s="13" t="s">
        <v>1018</v>
      </c>
      <c r="R1570">
        <v>1</v>
      </c>
      <c r="S1570">
        <v>20000</v>
      </c>
      <c r="T1570"/>
      <c r="U1570" s="9"/>
      <c r="V1570" s="9"/>
      <c r="W1570" s="9"/>
      <c r="X1570" s="9"/>
    </row>
    <row r="1571" spans="1:24">
      <c r="A1571" s="13" t="s">
        <v>19</v>
      </c>
      <c r="B1571" s="1"/>
      <c r="C1571" s="1" t="s">
        <v>26</v>
      </c>
      <c r="D1571" s="3">
        <v>20000</v>
      </c>
      <c r="E1571"/>
      <c r="F1571"/>
      <c r="G1571"/>
      <c r="H1571"/>
      <c r="I1571"/>
      <c r="J1571"/>
      <c r="K1571"/>
      <c r="L1571"/>
      <c r="M1571" s="18" t="s">
        <v>453</v>
      </c>
      <c r="N1571" t="s">
        <v>1175</v>
      </c>
      <c r="O1571" t="s">
        <v>97</v>
      </c>
      <c r="P1571" s="1" t="s">
        <v>611</v>
      </c>
      <c r="Q1571" s="13" t="s">
        <v>1018</v>
      </c>
      <c r="R1571">
        <v>1</v>
      </c>
      <c r="S1571">
        <v>20000</v>
      </c>
      <c r="T1571"/>
      <c r="U1571" s="9"/>
      <c r="V1571" s="9"/>
      <c r="W1571" s="9"/>
      <c r="X1571" s="9"/>
    </row>
    <row r="1572" spans="1:24">
      <c r="A1572" s="13" t="s">
        <v>19</v>
      </c>
      <c r="B1572" s="1"/>
      <c r="C1572" s="1" t="s">
        <v>26</v>
      </c>
      <c r="D1572" s="3">
        <v>60000</v>
      </c>
      <c r="E1572"/>
      <c r="F1572"/>
      <c r="G1572"/>
      <c r="H1572"/>
      <c r="I1572"/>
      <c r="J1572"/>
      <c r="K1572"/>
      <c r="L1572"/>
      <c r="M1572" s="18" t="s">
        <v>453</v>
      </c>
      <c r="N1572" t="s">
        <v>1175</v>
      </c>
      <c r="O1572" t="s">
        <v>97</v>
      </c>
      <c r="P1572" s="1" t="s">
        <v>669</v>
      </c>
      <c r="Q1572" s="13" t="s">
        <v>1018</v>
      </c>
      <c r="R1572">
        <v>3</v>
      </c>
      <c r="S1572">
        <v>20000</v>
      </c>
      <c r="T1572"/>
      <c r="U1572" s="9"/>
      <c r="V1572" s="9"/>
      <c r="W1572" s="9"/>
      <c r="X1572" s="9"/>
    </row>
    <row r="1573" spans="1:24">
      <c r="A1573" s="13" t="s">
        <v>19</v>
      </c>
      <c r="B1573" s="1"/>
      <c r="C1573" s="1" t="s">
        <v>26</v>
      </c>
      <c r="D1573" s="3">
        <v>20000</v>
      </c>
      <c r="E1573"/>
      <c r="F1573"/>
      <c r="G1573"/>
      <c r="H1573"/>
      <c r="I1573"/>
      <c r="J1573"/>
      <c r="K1573"/>
      <c r="L1573"/>
      <c r="M1573" s="18" t="s">
        <v>453</v>
      </c>
      <c r="N1573" t="s">
        <v>1175</v>
      </c>
      <c r="O1573" t="s">
        <v>97</v>
      </c>
      <c r="P1573" s="1" t="s">
        <v>590</v>
      </c>
      <c r="Q1573" s="13" t="s">
        <v>1018</v>
      </c>
      <c r="R1573">
        <v>1</v>
      </c>
      <c r="S1573">
        <v>20000</v>
      </c>
      <c r="T1573"/>
      <c r="U1573" s="9"/>
      <c r="V1573" s="9"/>
      <c r="W1573" s="9"/>
      <c r="X1573" s="9"/>
    </row>
    <row r="1574" spans="1:24">
      <c r="A1574" s="13" t="s">
        <v>19</v>
      </c>
      <c r="B1574" s="1"/>
      <c r="C1574" s="1" t="s">
        <v>26</v>
      </c>
      <c r="D1574" s="3">
        <v>20000</v>
      </c>
      <c r="E1574"/>
      <c r="F1574"/>
      <c r="G1574"/>
      <c r="H1574"/>
      <c r="I1574"/>
      <c r="J1574"/>
      <c r="K1574"/>
      <c r="L1574"/>
      <c r="M1574" s="18" t="s">
        <v>453</v>
      </c>
      <c r="N1574" t="s">
        <v>1175</v>
      </c>
      <c r="O1574" t="s">
        <v>97</v>
      </c>
      <c r="P1574" s="1" t="s">
        <v>590</v>
      </c>
      <c r="Q1574" s="13" t="s">
        <v>1018</v>
      </c>
      <c r="R1574">
        <v>1</v>
      </c>
      <c r="S1574">
        <v>20000</v>
      </c>
      <c r="T1574"/>
      <c r="U1574" s="9"/>
      <c r="V1574" s="9"/>
      <c r="W1574" s="9"/>
      <c r="X1574" s="9"/>
    </row>
    <row r="1575" spans="1:24">
      <c r="A1575" s="13" t="s">
        <v>19</v>
      </c>
      <c r="B1575" s="1"/>
      <c r="C1575" s="1" t="s">
        <v>26</v>
      </c>
      <c r="D1575" s="3">
        <v>20000</v>
      </c>
      <c r="E1575"/>
      <c r="F1575"/>
      <c r="G1575"/>
      <c r="H1575"/>
      <c r="I1575"/>
      <c r="J1575"/>
      <c r="K1575"/>
      <c r="L1575"/>
      <c r="M1575" s="18" t="s">
        <v>453</v>
      </c>
      <c r="N1575" t="s">
        <v>1175</v>
      </c>
      <c r="O1575" t="s">
        <v>97</v>
      </c>
      <c r="P1575" s="1" t="s">
        <v>608</v>
      </c>
      <c r="Q1575" s="13" t="s">
        <v>1018</v>
      </c>
      <c r="R1575">
        <v>1</v>
      </c>
      <c r="S1575">
        <v>20000</v>
      </c>
      <c r="T1575"/>
      <c r="U1575" s="9"/>
      <c r="V1575" s="9"/>
      <c r="W1575" s="9"/>
      <c r="X1575" s="9"/>
    </row>
    <row r="1576" spans="1:24">
      <c r="A1576" s="13" t="s">
        <v>19</v>
      </c>
      <c r="B1576" s="1"/>
      <c r="C1576" s="1" t="s">
        <v>26</v>
      </c>
      <c r="D1576" s="3">
        <v>20000</v>
      </c>
      <c r="E1576"/>
      <c r="F1576"/>
      <c r="G1576"/>
      <c r="H1576"/>
      <c r="I1576"/>
      <c r="J1576"/>
      <c r="K1576"/>
      <c r="L1576"/>
      <c r="M1576" s="18" t="s">
        <v>453</v>
      </c>
      <c r="N1576" t="s">
        <v>1175</v>
      </c>
      <c r="O1576" t="s">
        <v>97</v>
      </c>
      <c r="P1576" s="1" t="s">
        <v>701</v>
      </c>
      <c r="Q1576" s="13" t="s">
        <v>1018</v>
      </c>
      <c r="R1576">
        <v>1</v>
      </c>
      <c r="S1576">
        <v>20000</v>
      </c>
      <c r="T1576"/>
      <c r="U1576" s="9"/>
      <c r="V1576" s="9"/>
      <c r="W1576" s="9"/>
      <c r="X1576" s="9"/>
    </row>
    <row r="1577" spans="1:24">
      <c r="A1577" s="13" t="s">
        <v>19</v>
      </c>
      <c r="B1577" s="1"/>
      <c r="C1577" s="1" t="s">
        <v>26</v>
      </c>
      <c r="D1577" s="3">
        <v>20000</v>
      </c>
      <c r="E1577"/>
      <c r="F1577"/>
      <c r="G1577"/>
      <c r="H1577"/>
      <c r="I1577"/>
      <c r="J1577"/>
      <c r="K1577"/>
      <c r="L1577"/>
      <c r="M1577" s="18" t="s">
        <v>453</v>
      </c>
      <c r="N1577" t="s">
        <v>1175</v>
      </c>
      <c r="O1577" t="s">
        <v>97</v>
      </c>
      <c r="P1577" s="1" t="s">
        <v>791</v>
      </c>
      <c r="Q1577" s="13" t="s">
        <v>1018</v>
      </c>
      <c r="R1577">
        <v>1</v>
      </c>
      <c r="S1577">
        <v>20000</v>
      </c>
      <c r="T1577"/>
      <c r="U1577" s="9"/>
      <c r="V1577" s="9"/>
      <c r="W1577" s="9"/>
      <c r="X1577" s="9"/>
    </row>
    <row r="1578" spans="1:24">
      <c r="A1578" s="13" t="s">
        <v>19</v>
      </c>
      <c r="B1578" s="1"/>
      <c r="C1578" s="1" t="s">
        <v>26</v>
      </c>
      <c r="D1578" s="3">
        <v>20000</v>
      </c>
      <c r="E1578"/>
      <c r="F1578"/>
      <c r="G1578"/>
      <c r="H1578"/>
      <c r="I1578"/>
      <c r="J1578"/>
      <c r="K1578"/>
      <c r="L1578"/>
      <c r="M1578" s="18" t="s">
        <v>453</v>
      </c>
      <c r="N1578" t="s">
        <v>1175</v>
      </c>
      <c r="O1578" t="s">
        <v>97</v>
      </c>
      <c r="P1578" s="1" t="s">
        <v>795</v>
      </c>
      <c r="Q1578" s="13" t="s">
        <v>1018</v>
      </c>
      <c r="R1578">
        <v>1</v>
      </c>
      <c r="S1578">
        <v>20000</v>
      </c>
      <c r="T1578"/>
      <c r="U1578" s="9"/>
      <c r="V1578" s="9"/>
      <c r="W1578" s="9"/>
      <c r="X1578" s="9"/>
    </row>
    <row r="1579" spans="1:24">
      <c r="A1579" s="13" t="s">
        <v>19</v>
      </c>
      <c r="B1579" s="1"/>
      <c r="C1579" s="1" t="s">
        <v>26</v>
      </c>
      <c r="D1579" s="3">
        <v>20000</v>
      </c>
      <c r="E1579"/>
      <c r="F1579"/>
      <c r="G1579"/>
      <c r="H1579"/>
      <c r="I1579"/>
      <c r="J1579"/>
      <c r="K1579"/>
      <c r="L1579"/>
      <c r="M1579" s="18" t="s">
        <v>453</v>
      </c>
      <c r="N1579" t="s">
        <v>1175</v>
      </c>
      <c r="O1579" t="s">
        <v>97</v>
      </c>
      <c r="P1579" s="1" t="s">
        <v>791</v>
      </c>
      <c r="Q1579" s="13" t="s">
        <v>1018</v>
      </c>
      <c r="R1579">
        <v>1</v>
      </c>
      <c r="S1579">
        <v>20000</v>
      </c>
      <c r="T1579"/>
      <c r="U1579" s="9"/>
      <c r="V1579" s="9"/>
      <c r="W1579" s="9"/>
      <c r="X1579" s="9"/>
    </row>
    <row r="1580" spans="1:24">
      <c r="A1580" s="13" t="s">
        <v>19</v>
      </c>
      <c r="B1580" s="1"/>
      <c r="C1580" s="1" t="s">
        <v>29</v>
      </c>
      <c r="D1580" s="3">
        <v>20000</v>
      </c>
      <c r="E1580"/>
      <c r="F1580"/>
      <c r="G1580"/>
      <c r="H1580"/>
      <c r="I1580"/>
      <c r="J1580"/>
      <c r="K1580"/>
      <c r="L1580"/>
      <c r="M1580" s="18" t="s">
        <v>453</v>
      </c>
      <c r="N1580" t="s">
        <v>1175</v>
      </c>
      <c r="O1580" t="s">
        <v>97</v>
      </c>
      <c r="P1580" s="1" t="s">
        <v>30</v>
      </c>
      <c r="Q1580" s="13" t="s">
        <v>1018</v>
      </c>
      <c r="R1580">
        <v>4</v>
      </c>
      <c r="S1580">
        <v>5000</v>
      </c>
      <c r="T1580"/>
      <c r="U1580" s="9"/>
      <c r="V1580" s="9"/>
      <c r="W1580" s="9"/>
      <c r="X1580" s="9"/>
    </row>
    <row r="1581" spans="1:24">
      <c r="A1581" s="13" t="s">
        <v>19</v>
      </c>
      <c r="B1581" s="1"/>
      <c r="C1581" s="1" t="s">
        <v>32</v>
      </c>
      <c r="D1581" s="3">
        <v>10000</v>
      </c>
      <c r="E1581"/>
      <c r="F1581"/>
      <c r="G1581"/>
      <c r="H1581"/>
      <c r="I1581"/>
      <c r="J1581"/>
      <c r="K1581"/>
      <c r="L1581"/>
      <c r="M1581" s="18" t="s">
        <v>453</v>
      </c>
      <c r="N1581" t="s">
        <v>1175</v>
      </c>
      <c r="O1581" t="s">
        <v>97</v>
      </c>
      <c r="P1581" s="1" t="s">
        <v>516</v>
      </c>
      <c r="Q1581" s="13" t="s">
        <v>1018</v>
      </c>
      <c r="R1581">
        <v>2</v>
      </c>
      <c r="S1581">
        <v>5000</v>
      </c>
      <c r="T1581"/>
      <c r="U1581" s="9"/>
      <c r="V1581" s="9"/>
      <c r="W1581" s="9"/>
      <c r="X1581" s="9"/>
    </row>
    <row r="1582" spans="1:24">
      <c r="A1582" s="13" t="s">
        <v>19</v>
      </c>
      <c r="B1582" s="1"/>
      <c r="C1582" s="1" t="s">
        <v>32</v>
      </c>
      <c r="D1582" s="3">
        <v>5000</v>
      </c>
      <c r="E1582"/>
      <c r="F1582"/>
      <c r="G1582"/>
      <c r="H1582"/>
      <c r="I1582"/>
      <c r="J1582"/>
      <c r="K1582"/>
      <c r="L1582"/>
      <c r="M1582" s="18" t="s">
        <v>453</v>
      </c>
      <c r="N1582" t="s">
        <v>1175</v>
      </c>
      <c r="O1582" t="s">
        <v>97</v>
      </c>
      <c r="P1582" s="1" t="s">
        <v>515</v>
      </c>
      <c r="Q1582" s="13" t="s">
        <v>1018</v>
      </c>
      <c r="R1582">
        <v>1</v>
      </c>
      <c r="S1582">
        <v>5000</v>
      </c>
      <c r="T1582"/>
      <c r="U1582" s="9"/>
      <c r="V1582" s="9"/>
      <c r="W1582" s="9"/>
      <c r="X1582" s="9"/>
    </row>
    <row r="1583" spans="1:24">
      <c r="A1583" s="13" t="s">
        <v>19</v>
      </c>
      <c r="B1583" s="1"/>
      <c r="C1583" s="1" t="s">
        <v>32</v>
      </c>
      <c r="D1583" s="3">
        <v>5000</v>
      </c>
      <c r="E1583"/>
      <c r="F1583"/>
      <c r="G1583"/>
      <c r="H1583"/>
      <c r="I1583"/>
      <c r="J1583"/>
      <c r="K1583"/>
      <c r="L1583"/>
      <c r="M1583" s="18" t="s">
        <v>453</v>
      </c>
      <c r="N1583" t="s">
        <v>1175</v>
      </c>
      <c r="O1583" t="s">
        <v>97</v>
      </c>
      <c r="P1583" s="1" t="s">
        <v>973</v>
      </c>
      <c r="Q1583" s="13" t="s">
        <v>1018</v>
      </c>
      <c r="R1583">
        <v>1</v>
      </c>
      <c r="S1583">
        <v>5000</v>
      </c>
      <c r="T1583"/>
      <c r="U1583" s="9"/>
      <c r="V1583" s="9"/>
      <c r="W1583" s="9"/>
      <c r="X1583" s="9"/>
    </row>
    <row r="1584" spans="1:24">
      <c r="A1584" s="13" t="s">
        <v>19</v>
      </c>
      <c r="B1584" s="1"/>
      <c r="C1584" s="1" t="s">
        <v>32</v>
      </c>
      <c r="D1584" s="3">
        <v>5000</v>
      </c>
      <c r="E1584"/>
      <c r="F1584"/>
      <c r="G1584"/>
      <c r="H1584"/>
      <c r="I1584"/>
      <c r="J1584"/>
      <c r="K1584"/>
      <c r="L1584"/>
      <c r="M1584" s="18" t="s">
        <v>453</v>
      </c>
      <c r="N1584" t="s">
        <v>1175</v>
      </c>
      <c r="O1584" t="s">
        <v>97</v>
      </c>
      <c r="P1584" s="1" t="s">
        <v>672</v>
      </c>
      <c r="Q1584" s="13" t="s">
        <v>1018</v>
      </c>
      <c r="R1584">
        <v>1</v>
      </c>
      <c r="S1584">
        <v>5000</v>
      </c>
      <c r="T1584"/>
      <c r="U1584" s="9"/>
      <c r="V1584" s="9"/>
      <c r="W1584" s="9"/>
      <c r="X1584" s="9"/>
    </row>
    <row r="1585" spans="1:24">
      <c r="A1585" s="13" t="s">
        <v>19</v>
      </c>
      <c r="B1585" s="1"/>
      <c r="C1585" s="1" t="s">
        <v>32</v>
      </c>
      <c r="D1585" s="3">
        <v>15000</v>
      </c>
      <c r="E1585"/>
      <c r="F1585"/>
      <c r="G1585"/>
      <c r="H1585"/>
      <c r="I1585"/>
      <c r="J1585"/>
      <c r="K1585"/>
      <c r="L1585"/>
      <c r="M1585" s="18" t="s">
        <v>453</v>
      </c>
      <c r="N1585" t="s">
        <v>1175</v>
      </c>
      <c r="O1585" t="s">
        <v>97</v>
      </c>
      <c r="P1585" s="1" t="s">
        <v>515</v>
      </c>
      <c r="Q1585" s="13" t="s">
        <v>1018</v>
      </c>
      <c r="R1585">
        <v>3</v>
      </c>
      <c r="S1585">
        <v>5000</v>
      </c>
      <c r="T1585"/>
      <c r="U1585" s="9"/>
      <c r="V1585" s="9"/>
      <c r="W1585" s="9"/>
      <c r="X1585" s="9"/>
    </row>
    <row r="1586" spans="1:24">
      <c r="A1586" s="13" t="s">
        <v>19</v>
      </c>
      <c r="B1586" s="1"/>
      <c r="C1586" s="1" t="s">
        <v>32</v>
      </c>
      <c r="D1586" s="3">
        <v>10000</v>
      </c>
      <c r="E1586"/>
      <c r="F1586"/>
      <c r="G1586"/>
      <c r="H1586"/>
      <c r="I1586"/>
      <c r="J1586"/>
      <c r="K1586"/>
      <c r="L1586"/>
      <c r="M1586" s="18" t="s">
        <v>453</v>
      </c>
      <c r="N1586" t="s">
        <v>1175</v>
      </c>
      <c r="O1586" t="s">
        <v>97</v>
      </c>
      <c r="P1586" s="1" t="s">
        <v>673</v>
      </c>
      <c r="Q1586" s="13" t="s">
        <v>1018</v>
      </c>
      <c r="R1586">
        <v>2</v>
      </c>
      <c r="S1586">
        <v>5000</v>
      </c>
      <c r="T1586"/>
      <c r="U1586" s="9"/>
      <c r="V1586" s="9"/>
      <c r="W1586" s="9"/>
      <c r="X1586" s="9"/>
    </row>
    <row r="1587" spans="1:24">
      <c r="A1587" s="13" t="s">
        <v>19</v>
      </c>
      <c r="B1587" s="1"/>
      <c r="C1587" s="1" t="s">
        <v>32</v>
      </c>
      <c r="D1587" s="3">
        <v>5000</v>
      </c>
      <c r="E1587"/>
      <c r="F1587"/>
      <c r="G1587"/>
      <c r="H1587"/>
      <c r="I1587"/>
      <c r="J1587"/>
      <c r="K1587"/>
      <c r="L1587"/>
      <c r="M1587" s="18" t="s">
        <v>453</v>
      </c>
      <c r="N1587" t="s">
        <v>1175</v>
      </c>
      <c r="O1587" t="s">
        <v>97</v>
      </c>
      <c r="P1587" s="1" t="s">
        <v>515</v>
      </c>
      <c r="Q1587" s="13" t="s">
        <v>1018</v>
      </c>
      <c r="R1587">
        <v>1</v>
      </c>
      <c r="S1587">
        <v>5000</v>
      </c>
      <c r="T1587"/>
      <c r="U1587" s="9"/>
      <c r="V1587" s="9"/>
      <c r="W1587" s="9"/>
      <c r="X1587" s="9"/>
    </row>
    <row r="1588" spans="1:24">
      <c r="A1588" s="13" t="s">
        <v>19</v>
      </c>
      <c r="B1588" s="1"/>
      <c r="C1588" s="1" t="s">
        <v>32</v>
      </c>
      <c r="D1588" s="3">
        <v>5000</v>
      </c>
      <c r="E1588"/>
      <c r="F1588"/>
      <c r="G1588"/>
      <c r="H1588"/>
      <c r="I1588"/>
      <c r="J1588"/>
      <c r="K1588"/>
      <c r="L1588"/>
      <c r="M1588" s="18" t="s">
        <v>453</v>
      </c>
      <c r="N1588" t="s">
        <v>1175</v>
      </c>
      <c r="O1588" t="s">
        <v>97</v>
      </c>
      <c r="P1588" s="1" t="s">
        <v>974</v>
      </c>
      <c r="Q1588" s="13" t="s">
        <v>1018</v>
      </c>
      <c r="R1588">
        <v>1</v>
      </c>
      <c r="S1588">
        <v>5000</v>
      </c>
      <c r="T1588"/>
      <c r="U1588" s="9"/>
      <c r="V1588" s="9"/>
      <c r="W1588" s="9"/>
      <c r="X1588" s="9"/>
    </row>
    <row r="1589" spans="1:24">
      <c r="A1589" s="13" t="s">
        <v>19</v>
      </c>
      <c r="B1589" s="1"/>
      <c r="C1589" s="1" t="s">
        <v>32</v>
      </c>
      <c r="D1589" s="3">
        <v>5000</v>
      </c>
      <c r="E1589"/>
      <c r="F1589"/>
      <c r="G1589"/>
      <c r="H1589"/>
      <c r="I1589"/>
      <c r="J1589"/>
      <c r="K1589"/>
      <c r="L1589"/>
      <c r="M1589" s="18" t="s">
        <v>453</v>
      </c>
      <c r="N1589" t="s">
        <v>1175</v>
      </c>
      <c r="O1589" t="s">
        <v>97</v>
      </c>
      <c r="P1589" s="1" t="s">
        <v>975</v>
      </c>
      <c r="Q1589" s="13" t="s">
        <v>1018</v>
      </c>
      <c r="R1589">
        <v>1</v>
      </c>
      <c r="S1589">
        <v>5000</v>
      </c>
      <c r="T1589"/>
      <c r="U1589" s="9"/>
      <c r="V1589" s="9"/>
      <c r="W1589" s="9"/>
      <c r="X1589" s="9"/>
    </row>
    <row r="1590" spans="1:24">
      <c r="A1590" s="13" t="s">
        <v>19</v>
      </c>
      <c r="B1590" s="1"/>
      <c r="C1590" s="1" t="s">
        <v>32</v>
      </c>
      <c r="D1590" s="3">
        <v>5000</v>
      </c>
      <c r="E1590"/>
      <c r="F1590"/>
      <c r="G1590"/>
      <c r="H1590"/>
      <c r="I1590"/>
      <c r="J1590"/>
      <c r="K1590"/>
      <c r="L1590"/>
      <c r="M1590" s="18" t="s">
        <v>453</v>
      </c>
      <c r="N1590" t="s">
        <v>1175</v>
      </c>
      <c r="O1590" t="s">
        <v>97</v>
      </c>
      <c r="P1590" s="1" t="s">
        <v>876</v>
      </c>
      <c r="Q1590" s="13" t="s">
        <v>1018</v>
      </c>
      <c r="R1590">
        <v>1</v>
      </c>
      <c r="S1590">
        <v>5000</v>
      </c>
      <c r="T1590"/>
      <c r="U1590" s="9"/>
      <c r="V1590" s="9"/>
      <c r="W1590" s="9"/>
      <c r="X1590" s="9"/>
    </row>
    <row r="1591" spans="1:24">
      <c r="A1591" s="13" t="s">
        <v>19</v>
      </c>
      <c r="B1591" s="1"/>
      <c r="C1591" s="1" t="s">
        <v>32</v>
      </c>
      <c r="D1591" s="3">
        <v>5000</v>
      </c>
      <c r="E1591"/>
      <c r="F1591"/>
      <c r="G1591"/>
      <c r="H1591"/>
      <c r="I1591"/>
      <c r="J1591"/>
      <c r="K1591"/>
      <c r="L1591"/>
      <c r="M1591" s="18" t="s">
        <v>453</v>
      </c>
      <c r="N1591" t="s">
        <v>1175</v>
      </c>
      <c r="O1591" t="s">
        <v>97</v>
      </c>
      <c r="P1591" s="1" t="s">
        <v>976</v>
      </c>
      <c r="Q1591" s="13" t="s">
        <v>1018</v>
      </c>
      <c r="R1591">
        <v>1</v>
      </c>
      <c r="S1591">
        <v>5000</v>
      </c>
      <c r="T1591"/>
      <c r="U1591" s="9"/>
      <c r="V1591" s="9"/>
      <c r="W1591" s="9"/>
      <c r="X1591" s="9"/>
    </row>
    <row r="1592" spans="1:24">
      <c r="A1592" s="13" t="s">
        <v>19</v>
      </c>
      <c r="B1592" s="1"/>
      <c r="C1592" s="1" t="s">
        <v>32</v>
      </c>
      <c r="D1592" s="3">
        <v>10000</v>
      </c>
      <c r="E1592"/>
      <c r="F1592"/>
      <c r="G1592"/>
      <c r="H1592"/>
      <c r="I1592"/>
      <c r="J1592"/>
      <c r="K1592"/>
      <c r="L1592"/>
      <c r="M1592" s="18" t="s">
        <v>453</v>
      </c>
      <c r="N1592" t="s">
        <v>1175</v>
      </c>
      <c r="O1592" t="s">
        <v>97</v>
      </c>
      <c r="P1592" s="1" t="s">
        <v>963</v>
      </c>
      <c r="Q1592" s="13" t="s">
        <v>1018</v>
      </c>
      <c r="R1592">
        <v>2</v>
      </c>
      <c r="S1592">
        <v>5000</v>
      </c>
      <c r="T1592"/>
      <c r="U1592" s="9"/>
      <c r="V1592" s="9"/>
      <c r="W1592" s="9"/>
      <c r="X1592" s="9"/>
    </row>
    <row r="1593" spans="1:24">
      <c r="A1593" s="13" t="s">
        <v>19</v>
      </c>
      <c r="B1593" s="1"/>
      <c r="C1593" s="1" t="s">
        <v>32</v>
      </c>
      <c r="D1593" s="3">
        <v>20000</v>
      </c>
      <c r="E1593"/>
      <c r="F1593"/>
      <c r="G1593"/>
      <c r="H1593"/>
      <c r="I1593"/>
      <c r="J1593"/>
      <c r="K1593"/>
      <c r="L1593"/>
      <c r="M1593" s="18" t="s">
        <v>453</v>
      </c>
      <c r="N1593" t="s">
        <v>1175</v>
      </c>
      <c r="O1593" t="s">
        <v>97</v>
      </c>
      <c r="P1593" s="1" t="s">
        <v>774</v>
      </c>
      <c r="Q1593" s="13" t="s">
        <v>1018</v>
      </c>
      <c r="R1593">
        <v>4</v>
      </c>
      <c r="S1593">
        <v>5000</v>
      </c>
      <c r="T1593"/>
      <c r="U1593" s="9"/>
      <c r="V1593" s="9"/>
      <c r="W1593" s="9"/>
      <c r="X1593" s="9"/>
    </row>
    <row r="1594" spans="1:24">
      <c r="A1594" s="13" t="s">
        <v>19</v>
      </c>
      <c r="B1594" s="1"/>
      <c r="C1594" s="1" t="s">
        <v>32</v>
      </c>
      <c r="D1594" s="3">
        <v>15000</v>
      </c>
      <c r="E1594"/>
      <c r="F1594"/>
      <c r="G1594"/>
      <c r="H1594"/>
      <c r="I1594"/>
      <c r="J1594"/>
      <c r="K1594"/>
      <c r="L1594"/>
      <c r="M1594" s="18" t="s">
        <v>453</v>
      </c>
      <c r="N1594" t="s">
        <v>1175</v>
      </c>
      <c r="O1594" t="s">
        <v>97</v>
      </c>
      <c r="P1594" s="1" t="s">
        <v>977</v>
      </c>
      <c r="Q1594" s="13" t="s">
        <v>1018</v>
      </c>
      <c r="R1594">
        <v>3</v>
      </c>
      <c r="S1594">
        <v>5000</v>
      </c>
      <c r="T1594"/>
      <c r="U1594" s="9"/>
      <c r="V1594" s="9"/>
      <c r="W1594" s="9"/>
      <c r="X1594" s="9"/>
    </row>
    <row r="1595" spans="1:24">
      <c r="A1595" s="13" t="s">
        <v>19</v>
      </c>
      <c r="B1595" s="1"/>
      <c r="C1595" s="1" t="s">
        <v>32</v>
      </c>
      <c r="D1595" s="3">
        <v>5000</v>
      </c>
      <c r="E1595"/>
      <c r="F1595"/>
      <c r="G1595"/>
      <c r="H1595"/>
      <c r="I1595"/>
      <c r="J1595"/>
      <c r="K1595"/>
      <c r="L1595"/>
      <c r="M1595" s="18" t="s">
        <v>453</v>
      </c>
      <c r="N1595" t="s">
        <v>1175</v>
      </c>
      <c r="O1595" t="s">
        <v>97</v>
      </c>
      <c r="P1595" s="1" t="s">
        <v>801</v>
      </c>
      <c r="Q1595" s="13" t="s">
        <v>1018</v>
      </c>
      <c r="R1595">
        <v>1</v>
      </c>
      <c r="S1595">
        <v>5000</v>
      </c>
      <c r="T1595"/>
      <c r="U1595" s="9"/>
      <c r="V1595" s="9"/>
      <c r="W1595" s="9"/>
      <c r="X1595" s="9"/>
    </row>
    <row r="1596" spans="1:24">
      <c r="A1596" s="13" t="s">
        <v>19</v>
      </c>
      <c r="B1596" s="1"/>
      <c r="C1596" s="1" t="s">
        <v>32</v>
      </c>
      <c r="D1596" s="3">
        <v>5000</v>
      </c>
      <c r="E1596"/>
      <c r="F1596"/>
      <c r="G1596"/>
      <c r="H1596"/>
      <c r="I1596"/>
      <c r="J1596"/>
      <c r="K1596"/>
      <c r="L1596"/>
      <c r="M1596" s="18" t="s">
        <v>453</v>
      </c>
      <c r="N1596" t="s">
        <v>1175</v>
      </c>
      <c r="O1596" t="s">
        <v>97</v>
      </c>
      <c r="P1596" s="1" t="s">
        <v>628</v>
      </c>
      <c r="Q1596" s="13" t="s">
        <v>1018</v>
      </c>
      <c r="R1596">
        <v>1</v>
      </c>
      <c r="S1596">
        <v>5000</v>
      </c>
      <c r="T1596"/>
      <c r="U1596" s="9"/>
      <c r="V1596" s="9"/>
      <c r="W1596" s="9"/>
      <c r="X1596" s="9"/>
    </row>
    <row r="1597" spans="1:24">
      <c r="A1597" s="13" t="s">
        <v>19</v>
      </c>
      <c r="B1597" s="1"/>
      <c r="C1597" s="1" t="s">
        <v>32</v>
      </c>
      <c r="D1597" s="3">
        <v>5000</v>
      </c>
      <c r="E1597"/>
      <c r="F1597"/>
      <c r="G1597"/>
      <c r="H1597"/>
      <c r="I1597"/>
      <c r="J1597"/>
      <c r="K1597"/>
      <c r="L1597"/>
      <c r="M1597" s="18" t="s">
        <v>453</v>
      </c>
      <c r="N1597" t="s">
        <v>1175</v>
      </c>
      <c r="O1597" t="s">
        <v>97</v>
      </c>
      <c r="P1597" s="1" t="s">
        <v>628</v>
      </c>
      <c r="Q1597" s="13" t="s">
        <v>1018</v>
      </c>
      <c r="R1597">
        <v>1</v>
      </c>
      <c r="S1597">
        <v>5000</v>
      </c>
      <c r="T1597"/>
      <c r="U1597" s="9"/>
      <c r="V1597" s="9"/>
      <c r="W1597" s="9"/>
      <c r="X1597" s="9"/>
    </row>
    <row r="1598" spans="1:24">
      <c r="A1598" s="13" t="s">
        <v>19</v>
      </c>
      <c r="B1598" s="1"/>
      <c r="C1598" s="1" t="s">
        <v>32</v>
      </c>
      <c r="D1598" s="3">
        <v>5000</v>
      </c>
      <c r="E1598"/>
      <c r="F1598"/>
      <c r="G1598"/>
      <c r="H1598"/>
      <c r="I1598"/>
      <c r="J1598"/>
      <c r="K1598"/>
      <c r="L1598"/>
      <c r="M1598" s="18" t="s">
        <v>453</v>
      </c>
      <c r="N1598" t="s">
        <v>1175</v>
      </c>
      <c r="O1598" t="s">
        <v>97</v>
      </c>
      <c r="P1598" s="1" t="s">
        <v>628</v>
      </c>
      <c r="Q1598" s="13" t="s">
        <v>1018</v>
      </c>
      <c r="R1598">
        <v>1</v>
      </c>
      <c r="S1598">
        <v>5000</v>
      </c>
      <c r="T1598"/>
      <c r="U1598" s="9"/>
      <c r="V1598" s="9"/>
      <c r="W1598" s="9"/>
      <c r="X1598" s="9"/>
    </row>
    <row r="1599" spans="1:24">
      <c r="A1599" s="13" t="s">
        <v>19</v>
      </c>
      <c r="B1599" s="1"/>
      <c r="C1599" s="1" t="s">
        <v>32</v>
      </c>
      <c r="D1599" s="3">
        <v>5000</v>
      </c>
      <c r="E1599"/>
      <c r="F1599"/>
      <c r="G1599"/>
      <c r="H1599"/>
      <c r="I1599"/>
      <c r="J1599"/>
      <c r="K1599"/>
      <c r="L1599"/>
      <c r="M1599" s="18" t="s">
        <v>453</v>
      </c>
      <c r="N1599" t="s">
        <v>1175</v>
      </c>
      <c r="O1599" t="s">
        <v>97</v>
      </c>
      <c r="P1599" s="1" t="s">
        <v>798</v>
      </c>
      <c r="Q1599" s="13" t="s">
        <v>1018</v>
      </c>
      <c r="R1599">
        <v>1</v>
      </c>
      <c r="S1599">
        <v>5000</v>
      </c>
      <c r="T1599"/>
      <c r="U1599" s="9"/>
      <c r="V1599" s="9"/>
      <c r="W1599" s="9"/>
      <c r="X1599" s="9"/>
    </row>
    <row r="1600" spans="1:24">
      <c r="A1600" s="13" t="s">
        <v>19</v>
      </c>
      <c r="B1600" s="1"/>
      <c r="C1600" s="1" t="s">
        <v>32</v>
      </c>
      <c r="D1600" s="3">
        <v>5000</v>
      </c>
      <c r="E1600"/>
      <c r="F1600"/>
      <c r="G1600"/>
      <c r="H1600"/>
      <c r="I1600"/>
      <c r="J1600"/>
      <c r="K1600"/>
      <c r="L1600"/>
      <c r="M1600" s="18" t="s">
        <v>453</v>
      </c>
      <c r="N1600" t="s">
        <v>1175</v>
      </c>
      <c r="O1600" t="s">
        <v>97</v>
      </c>
      <c r="P1600" s="1" t="s">
        <v>621</v>
      </c>
      <c r="Q1600" s="13" t="s">
        <v>1018</v>
      </c>
      <c r="R1600">
        <v>1</v>
      </c>
      <c r="S1600">
        <v>5000</v>
      </c>
      <c r="T1600"/>
      <c r="U1600" s="9"/>
      <c r="V1600" s="9"/>
      <c r="W1600" s="9"/>
      <c r="X1600" s="9"/>
    </row>
    <row r="1601" spans="1:24">
      <c r="A1601" s="13" t="s">
        <v>19</v>
      </c>
      <c r="B1601" s="1"/>
      <c r="C1601" s="1" t="s">
        <v>32</v>
      </c>
      <c r="D1601" s="3">
        <v>15000</v>
      </c>
      <c r="E1601"/>
      <c r="F1601"/>
      <c r="G1601"/>
      <c r="H1601"/>
      <c r="I1601"/>
      <c r="J1601"/>
      <c r="K1601"/>
      <c r="L1601"/>
      <c r="M1601" s="18" t="s">
        <v>453</v>
      </c>
      <c r="N1601" t="s">
        <v>1175</v>
      </c>
      <c r="O1601" t="s">
        <v>97</v>
      </c>
      <c r="P1601" s="1" t="s">
        <v>675</v>
      </c>
      <c r="Q1601" s="13" t="s">
        <v>1018</v>
      </c>
      <c r="R1601">
        <v>3</v>
      </c>
      <c r="S1601">
        <v>5000</v>
      </c>
      <c r="T1601"/>
      <c r="U1601" s="9"/>
      <c r="V1601" s="9"/>
      <c r="W1601" s="9"/>
      <c r="X1601" s="9"/>
    </row>
    <row r="1602" spans="1:24">
      <c r="A1602" s="13" t="s">
        <v>19</v>
      </c>
      <c r="B1602" s="1"/>
      <c r="C1602" s="1" t="s">
        <v>32</v>
      </c>
      <c r="D1602" s="3">
        <v>5000</v>
      </c>
      <c r="E1602"/>
      <c r="F1602"/>
      <c r="G1602"/>
      <c r="H1602"/>
      <c r="I1602"/>
      <c r="J1602"/>
      <c r="K1602"/>
      <c r="L1602"/>
      <c r="M1602" s="18" t="s">
        <v>453</v>
      </c>
      <c r="N1602" t="s">
        <v>1175</v>
      </c>
      <c r="O1602" t="s">
        <v>97</v>
      </c>
      <c r="P1602" s="1" t="s">
        <v>601</v>
      </c>
      <c r="Q1602" s="13" t="s">
        <v>1018</v>
      </c>
      <c r="R1602">
        <v>1</v>
      </c>
      <c r="S1602">
        <v>5000</v>
      </c>
      <c r="T1602"/>
      <c r="U1602" s="9"/>
      <c r="V1602" s="9"/>
      <c r="W1602" s="9"/>
      <c r="X1602" s="9"/>
    </row>
    <row r="1603" spans="1:24">
      <c r="A1603" s="13" t="s">
        <v>19</v>
      </c>
      <c r="B1603" s="1"/>
      <c r="C1603" s="1" t="s">
        <v>32</v>
      </c>
      <c r="D1603" s="3">
        <v>5000</v>
      </c>
      <c r="E1603"/>
      <c r="F1603"/>
      <c r="G1603"/>
      <c r="H1603"/>
      <c r="I1603"/>
      <c r="J1603"/>
      <c r="K1603"/>
      <c r="L1603"/>
      <c r="M1603" s="18" t="s">
        <v>453</v>
      </c>
      <c r="N1603" t="s">
        <v>1175</v>
      </c>
      <c r="O1603" t="s">
        <v>97</v>
      </c>
      <c r="P1603" s="1" t="s">
        <v>601</v>
      </c>
      <c r="Q1603" s="13" t="s">
        <v>1018</v>
      </c>
      <c r="R1603">
        <v>1</v>
      </c>
      <c r="S1603">
        <v>5000</v>
      </c>
      <c r="T1603"/>
      <c r="U1603" s="9"/>
      <c r="V1603" s="9"/>
      <c r="W1603" s="9"/>
      <c r="X1603" s="9"/>
    </row>
    <row r="1604" spans="1:24">
      <c r="A1604" s="13" t="s">
        <v>19</v>
      </c>
      <c r="B1604" s="1"/>
      <c r="C1604" s="1" t="s">
        <v>32</v>
      </c>
      <c r="D1604" s="3">
        <v>5000</v>
      </c>
      <c r="E1604"/>
      <c r="F1604"/>
      <c r="G1604"/>
      <c r="H1604"/>
      <c r="I1604"/>
      <c r="J1604"/>
      <c r="K1604"/>
      <c r="L1604"/>
      <c r="M1604" s="18" t="s">
        <v>453</v>
      </c>
      <c r="N1604" t="s">
        <v>1175</v>
      </c>
      <c r="O1604" t="s">
        <v>97</v>
      </c>
      <c r="P1604" s="1" t="s">
        <v>618</v>
      </c>
      <c r="Q1604" s="13" t="s">
        <v>1018</v>
      </c>
      <c r="R1604">
        <v>1</v>
      </c>
      <c r="S1604">
        <v>5000</v>
      </c>
      <c r="T1604"/>
      <c r="U1604" s="9"/>
      <c r="V1604" s="9"/>
      <c r="W1604" s="9"/>
      <c r="X1604" s="9"/>
    </row>
    <row r="1605" spans="1:24">
      <c r="A1605" s="13" t="s">
        <v>19</v>
      </c>
      <c r="B1605" s="1"/>
      <c r="C1605" s="1" t="s">
        <v>32</v>
      </c>
      <c r="D1605" s="3">
        <v>5000</v>
      </c>
      <c r="E1605"/>
      <c r="F1605"/>
      <c r="G1605"/>
      <c r="H1605"/>
      <c r="I1605"/>
      <c r="J1605"/>
      <c r="K1605"/>
      <c r="L1605"/>
      <c r="M1605" s="18" t="s">
        <v>453</v>
      </c>
      <c r="N1605" t="s">
        <v>1175</v>
      </c>
      <c r="O1605" t="s">
        <v>97</v>
      </c>
      <c r="P1605" s="1" t="s">
        <v>710</v>
      </c>
      <c r="Q1605" s="13" t="s">
        <v>1018</v>
      </c>
      <c r="R1605">
        <v>1</v>
      </c>
      <c r="S1605">
        <v>5000</v>
      </c>
      <c r="T1605"/>
      <c r="U1605" s="9"/>
      <c r="V1605" s="9"/>
      <c r="W1605" s="9"/>
      <c r="X1605" s="9"/>
    </row>
    <row r="1606" spans="1:24">
      <c r="A1606" s="13" t="s">
        <v>19</v>
      </c>
      <c r="B1606" s="1"/>
      <c r="C1606" s="1" t="s">
        <v>32</v>
      </c>
      <c r="D1606" s="3">
        <v>5000</v>
      </c>
      <c r="E1606"/>
      <c r="F1606"/>
      <c r="G1606"/>
      <c r="H1606"/>
      <c r="I1606"/>
      <c r="J1606"/>
      <c r="K1606"/>
      <c r="L1606"/>
      <c r="M1606" s="18" t="s">
        <v>453</v>
      </c>
      <c r="N1606" t="s">
        <v>1175</v>
      </c>
      <c r="O1606" t="s">
        <v>97</v>
      </c>
      <c r="P1606" s="1" t="s">
        <v>799</v>
      </c>
      <c r="Q1606" s="13" t="s">
        <v>1018</v>
      </c>
      <c r="R1606">
        <v>1</v>
      </c>
      <c r="S1606">
        <v>5000</v>
      </c>
      <c r="T1606"/>
      <c r="U1606" s="9"/>
      <c r="V1606" s="9"/>
      <c r="W1606" s="9"/>
      <c r="X1606" s="9"/>
    </row>
    <row r="1607" spans="1:24">
      <c r="A1607" s="13" t="s">
        <v>19</v>
      </c>
      <c r="B1607" s="1"/>
      <c r="C1607" s="1" t="s">
        <v>32</v>
      </c>
      <c r="D1607" s="3">
        <v>5000</v>
      </c>
      <c r="E1607"/>
      <c r="F1607"/>
      <c r="G1607"/>
      <c r="H1607"/>
      <c r="I1607"/>
      <c r="J1607"/>
      <c r="K1607"/>
      <c r="L1607"/>
      <c r="M1607" s="18" t="s">
        <v>453</v>
      </c>
      <c r="N1607" t="s">
        <v>1175</v>
      </c>
      <c r="O1607" t="s">
        <v>97</v>
      </c>
      <c r="P1607" s="1" t="s">
        <v>803</v>
      </c>
      <c r="Q1607" s="13" t="s">
        <v>1018</v>
      </c>
      <c r="R1607">
        <v>1</v>
      </c>
      <c r="S1607">
        <v>5000</v>
      </c>
      <c r="T1607"/>
      <c r="U1607" s="9"/>
      <c r="V1607" s="9"/>
      <c r="W1607" s="9"/>
      <c r="X1607" s="9"/>
    </row>
    <row r="1608" spans="1:24">
      <c r="A1608" s="13" t="s">
        <v>19</v>
      </c>
      <c r="B1608" s="1"/>
      <c r="C1608" s="1" t="s">
        <v>32</v>
      </c>
      <c r="D1608" s="3">
        <v>5000</v>
      </c>
      <c r="E1608"/>
      <c r="F1608"/>
      <c r="G1608"/>
      <c r="H1608"/>
      <c r="I1608"/>
      <c r="J1608"/>
      <c r="K1608"/>
      <c r="L1608"/>
      <c r="M1608" s="18" t="s">
        <v>453</v>
      </c>
      <c r="N1608" t="s">
        <v>1175</v>
      </c>
      <c r="O1608" t="s">
        <v>97</v>
      </c>
      <c r="P1608" s="1" t="s">
        <v>799</v>
      </c>
      <c r="Q1608" s="13" t="s">
        <v>1018</v>
      </c>
      <c r="R1608">
        <v>1</v>
      </c>
      <c r="S1608">
        <v>5000</v>
      </c>
      <c r="T1608"/>
      <c r="U1608" s="9"/>
      <c r="V1608" s="9"/>
      <c r="W1608" s="9"/>
      <c r="X1608" s="9"/>
    </row>
    <row r="1609" spans="1:24">
      <c r="A1609" s="13"/>
      <c r="B1609" s="1"/>
      <c r="C1609" s="1"/>
      <c r="D1609" s="3" t="str">
        <f>SUBTOTAL(9,D1551:D1608)</f>
        <v>0</v>
      </c>
      <c r="E1609"/>
      <c r="F1609"/>
      <c r="G1609"/>
      <c r="H1609"/>
      <c r="I1609"/>
      <c r="J1609"/>
      <c r="K1609"/>
      <c r="L1609"/>
      <c r="M1609" s="18" t="s">
        <v>454</v>
      </c>
      <c r="N1609" t="s">
        <v>1572</v>
      </c>
      <c r="O1609" t="s">
        <v>97</v>
      </c>
      <c r="P1609" s="1"/>
      <c r="Q1609" s="13"/>
      <c r="R1609"/>
      <c r="S1609"/>
      <c r="T1609"/>
      <c r="U1609" s="9"/>
      <c r="V1609" s="9"/>
      <c r="W1609" s="9"/>
      <c r="X1609" s="9"/>
    </row>
    <row r="1610" spans="1:24">
      <c r="A1610" s="13" t="s">
        <v>19</v>
      </c>
      <c r="B1610" s="1"/>
      <c r="C1610" s="1" t="s">
        <v>20</v>
      </c>
      <c r="D1610" s="3">
        <v>192000</v>
      </c>
      <c r="E1610"/>
      <c r="F1610"/>
      <c r="G1610"/>
      <c r="H1610"/>
      <c r="I1610"/>
      <c r="J1610"/>
      <c r="K1610"/>
      <c r="L1610"/>
      <c r="M1610" s="18" t="s">
        <v>455</v>
      </c>
      <c r="N1610" t="s">
        <v>1129</v>
      </c>
      <c r="O1610" t="s">
        <v>98</v>
      </c>
      <c r="P1610" s="1" t="s">
        <v>24</v>
      </c>
      <c r="Q1610" s="13" t="s">
        <v>25</v>
      </c>
      <c r="R1610">
        <v>6</v>
      </c>
      <c r="S1610">
        <v>32000</v>
      </c>
      <c r="T1610"/>
      <c r="U1610" s="9"/>
      <c r="V1610" s="9"/>
      <c r="W1610" s="9"/>
      <c r="X1610" s="9"/>
    </row>
    <row r="1611" spans="1:24">
      <c r="A1611" s="13" t="s">
        <v>19</v>
      </c>
      <c r="B1611" s="1"/>
      <c r="C1611" s="1" t="s">
        <v>20</v>
      </c>
      <c r="D1611" s="3">
        <v>192000</v>
      </c>
      <c r="E1611"/>
      <c r="F1611"/>
      <c r="G1611"/>
      <c r="H1611"/>
      <c r="I1611"/>
      <c r="J1611"/>
      <c r="K1611"/>
      <c r="L1611"/>
      <c r="M1611" s="18" t="s">
        <v>455</v>
      </c>
      <c r="N1611" t="s">
        <v>1129</v>
      </c>
      <c r="O1611" t="s">
        <v>98</v>
      </c>
      <c r="P1611" s="1" t="s">
        <v>24</v>
      </c>
      <c r="Q1611" s="13" t="s">
        <v>25</v>
      </c>
      <c r="R1611">
        <v>6</v>
      </c>
      <c r="S1611">
        <v>32000</v>
      </c>
      <c r="T1611"/>
      <c r="U1611" s="9"/>
      <c r="V1611" s="9"/>
      <c r="W1611" s="9"/>
      <c r="X1611" s="9"/>
    </row>
    <row r="1612" spans="1:24">
      <c r="A1612" s="13" t="s">
        <v>19</v>
      </c>
      <c r="B1612" s="1"/>
      <c r="C1612" s="1" t="s">
        <v>20</v>
      </c>
      <c r="D1612" s="3">
        <v>192000</v>
      </c>
      <c r="E1612"/>
      <c r="F1612"/>
      <c r="G1612"/>
      <c r="H1612"/>
      <c r="I1612"/>
      <c r="J1612"/>
      <c r="K1612"/>
      <c r="L1612"/>
      <c r="M1612" s="18" t="s">
        <v>455</v>
      </c>
      <c r="N1612" t="s">
        <v>1129</v>
      </c>
      <c r="O1612" t="s">
        <v>98</v>
      </c>
      <c r="P1612" s="1" t="s">
        <v>753</v>
      </c>
      <c r="Q1612" s="13" t="s">
        <v>25</v>
      </c>
      <c r="R1612">
        <v>6</v>
      </c>
      <c r="S1612">
        <v>32000</v>
      </c>
      <c r="T1612"/>
      <c r="U1612" s="9"/>
      <c r="V1612" s="9"/>
      <c r="W1612" s="9"/>
      <c r="X1612" s="9"/>
    </row>
    <row r="1613" spans="1:24">
      <c r="A1613" s="13" t="s">
        <v>19</v>
      </c>
      <c r="B1613" s="1"/>
      <c r="C1613" s="1" t="s">
        <v>20</v>
      </c>
      <c r="D1613" s="3">
        <v>64000</v>
      </c>
      <c r="E1613"/>
      <c r="F1613"/>
      <c r="G1613"/>
      <c r="H1613"/>
      <c r="I1613"/>
      <c r="J1613"/>
      <c r="K1613"/>
      <c r="L1613"/>
      <c r="M1613" s="18" t="s">
        <v>455</v>
      </c>
      <c r="N1613" t="s">
        <v>1129</v>
      </c>
      <c r="O1613" t="s">
        <v>98</v>
      </c>
      <c r="P1613" s="1" t="s">
        <v>24</v>
      </c>
      <c r="Q1613" s="13" t="s">
        <v>25</v>
      </c>
      <c r="R1613">
        <v>2</v>
      </c>
      <c r="S1613">
        <v>32000</v>
      </c>
      <c r="T1613"/>
      <c r="U1613" s="9"/>
      <c r="V1613" s="9"/>
      <c r="W1613" s="9"/>
      <c r="X1613" s="9"/>
    </row>
    <row r="1614" spans="1:24">
      <c r="A1614" s="13" t="s">
        <v>19</v>
      </c>
      <c r="B1614" s="1"/>
      <c r="C1614" s="1" t="s">
        <v>29</v>
      </c>
      <c r="D1614" s="3">
        <v>30000</v>
      </c>
      <c r="E1614"/>
      <c r="F1614"/>
      <c r="G1614"/>
      <c r="H1614"/>
      <c r="I1614"/>
      <c r="J1614"/>
      <c r="K1614"/>
      <c r="L1614"/>
      <c r="M1614" s="18" t="s">
        <v>455</v>
      </c>
      <c r="N1614" t="s">
        <v>1129</v>
      </c>
      <c r="O1614" t="s">
        <v>98</v>
      </c>
      <c r="P1614" s="1" t="s">
        <v>30</v>
      </c>
      <c r="Q1614" s="13" t="s">
        <v>25</v>
      </c>
      <c r="R1614">
        <v>6</v>
      </c>
      <c r="S1614">
        <v>5000</v>
      </c>
      <c r="T1614"/>
      <c r="U1614" s="9"/>
      <c r="V1614" s="9"/>
      <c r="W1614" s="9"/>
      <c r="X1614" s="9"/>
    </row>
    <row r="1615" spans="1:24">
      <c r="A1615" s="13" t="s">
        <v>19</v>
      </c>
      <c r="B1615" s="1"/>
      <c r="C1615" s="1" t="s">
        <v>29</v>
      </c>
      <c r="D1615" s="3">
        <v>30000</v>
      </c>
      <c r="E1615"/>
      <c r="F1615"/>
      <c r="G1615"/>
      <c r="H1615"/>
      <c r="I1615"/>
      <c r="J1615"/>
      <c r="K1615"/>
      <c r="L1615"/>
      <c r="M1615" s="18" t="s">
        <v>455</v>
      </c>
      <c r="N1615" t="s">
        <v>1129</v>
      </c>
      <c r="O1615" t="s">
        <v>98</v>
      </c>
      <c r="P1615" s="1" t="s">
        <v>30</v>
      </c>
      <c r="Q1615" s="13" t="s">
        <v>25</v>
      </c>
      <c r="R1615">
        <v>6</v>
      </c>
      <c r="S1615">
        <v>5000</v>
      </c>
      <c r="T1615"/>
      <c r="U1615" s="9"/>
      <c r="V1615" s="9"/>
      <c r="W1615" s="9"/>
      <c r="X1615" s="9"/>
    </row>
    <row r="1616" spans="1:24">
      <c r="A1616" s="13" t="s">
        <v>19</v>
      </c>
      <c r="B1616" s="1"/>
      <c r="C1616" s="1" t="s">
        <v>29</v>
      </c>
      <c r="D1616" s="3">
        <v>30000</v>
      </c>
      <c r="E1616"/>
      <c r="F1616"/>
      <c r="G1616"/>
      <c r="H1616"/>
      <c r="I1616"/>
      <c r="J1616"/>
      <c r="K1616"/>
      <c r="L1616"/>
      <c r="M1616" s="18" t="s">
        <v>455</v>
      </c>
      <c r="N1616" t="s">
        <v>1129</v>
      </c>
      <c r="O1616" t="s">
        <v>98</v>
      </c>
      <c r="P1616" s="1" t="s">
        <v>756</v>
      </c>
      <c r="Q1616" s="13" t="s">
        <v>25</v>
      </c>
      <c r="R1616">
        <v>6</v>
      </c>
      <c r="S1616">
        <v>5000</v>
      </c>
      <c r="T1616"/>
      <c r="U1616" s="9"/>
      <c r="V1616" s="9"/>
      <c r="W1616" s="9"/>
      <c r="X1616" s="9"/>
    </row>
    <row r="1617" spans="1:24">
      <c r="A1617" s="13" t="s">
        <v>19</v>
      </c>
      <c r="B1617" s="1"/>
      <c r="C1617" s="1" t="s">
        <v>29</v>
      </c>
      <c r="D1617" s="3">
        <v>10000</v>
      </c>
      <c r="E1617"/>
      <c r="F1617"/>
      <c r="G1617"/>
      <c r="H1617"/>
      <c r="I1617"/>
      <c r="J1617"/>
      <c r="K1617"/>
      <c r="L1617"/>
      <c r="M1617" s="18" t="s">
        <v>455</v>
      </c>
      <c r="N1617" t="s">
        <v>1129</v>
      </c>
      <c r="O1617" t="s">
        <v>98</v>
      </c>
      <c r="P1617" s="1" t="s">
        <v>30</v>
      </c>
      <c r="Q1617" s="13" t="s">
        <v>25</v>
      </c>
      <c r="R1617">
        <v>2</v>
      </c>
      <c r="S1617">
        <v>5000</v>
      </c>
      <c r="T1617"/>
      <c r="U1617" s="9"/>
      <c r="V1617" s="9"/>
      <c r="W1617" s="9"/>
      <c r="X1617" s="9"/>
    </row>
    <row r="1618" spans="1:24">
      <c r="A1618" s="13"/>
      <c r="B1618" s="1"/>
      <c r="C1618" s="1"/>
      <c r="D1618" s="3" t="str">
        <f>SUBTOTAL(9,D1610:D1617)</f>
        <v>0</v>
      </c>
      <c r="E1618"/>
      <c r="F1618"/>
      <c r="G1618"/>
      <c r="H1618"/>
      <c r="I1618"/>
      <c r="J1618"/>
      <c r="K1618"/>
      <c r="L1618"/>
      <c r="M1618" s="18" t="s">
        <v>456</v>
      </c>
      <c r="N1618" t="s">
        <v>1573</v>
      </c>
      <c r="O1618" t="s">
        <v>98</v>
      </c>
      <c r="P1618" s="1"/>
      <c r="Q1618" s="13"/>
      <c r="R1618"/>
      <c r="S1618"/>
      <c r="T1618"/>
      <c r="U1618" s="9"/>
      <c r="V1618" s="9"/>
      <c r="W1618" s="9"/>
      <c r="X1618" s="9"/>
    </row>
    <row r="1619" spans="1:24">
      <c r="A1619" s="13" t="s">
        <v>19</v>
      </c>
      <c r="B1619" s="1"/>
      <c r="C1619" s="1" t="s">
        <v>20</v>
      </c>
      <c r="D1619" s="3">
        <v>70000</v>
      </c>
      <c r="E1619"/>
      <c r="F1619"/>
      <c r="G1619"/>
      <c r="H1619"/>
      <c r="I1619"/>
      <c r="J1619"/>
      <c r="K1619"/>
      <c r="L1619"/>
      <c r="M1619" s="18" t="s">
        <v>457</v>
      </c>
      <c r="N1619" t="s">
        <v>1392</v>
      </c>
      <c r="O1619" t="s">
        <v>1395</v>
      </c>
      <c r="P1619" s="1" t="s">
        <v>490</v>
      </c>
      <c r="Q1619" s="13" t="s">
        <v>25</v>
      </c>
      <c r="R1619">
        <v>2</v>
      </c>
      <c r="S1619">
        <v>35000</v>
      </c>
      <c r="T1619"/>
      <c r="U1619" s="9"/>
      <c r="V1619" s="9"/>
      <c r="W1619" s="9"/>
      <c r="X1619" s="9"/>
    </row>
    <row r="1620" spans="1:24">
      <c r="A1620" s="13" t="s">
        <v>19</v>
      </c>
      <c r="B1620" s="1"/>
      <c r="C1620" s="1" t="s">
        <v>20</v>
      </c>
      <c r="D1620" s="3">
        <v>70000</v>
      </c>
      <c r="E1620"/>
      <c r="F1620"/>
      <c r="G1620"/>
      <c r="H1620"/>
      <c r="I1620"/>
      <c r="J1620"/>
      <c r="K1620"/>
      <c r="L1620"/>
      <c r="M1620" s="18" t="s">
        <v>457</v>
      </c>
      <c r="N1620" t="s">
        <v>1392</v>
      </c>
      <c r="O1620" t="s">
        <v>1395</v>
      </c>
      <c r="P1620" s="1" t="s">
        <v>665</v>
      </c>
      <c r="Q1620" s="13" t="s">
        <v>25</v>
      </c>
      <c r="R1620">
        <v>2</v>
      </c>
      <c r="S1620">
        <v>35000</v>
      </c>
      <c r="T1620"/>
      <c r="U1620" s="9"/>
      <c r="V1620" s="9"/>
      <c r="W1620" s="9"/>
      <c r="X1620" s="9"/>
    </row>
    <row r="1621" spans="1:24">
      <c r="A1621" s="13" t="s">
        <v>19</v>
      </c>
      <c r="B1621" s="1"/>
      <c r="C1621" s="1" t="s">
        <v>29</v>
      </c>
      <c r="D1621" s="3">
        <v>10000</v>
      </c>
      <c r="E1621"/>
      <c r="F1621"/>
      <c r="G1621"/>
      <c r="H1621"/>
      <c r="I1621"/>
      <c r="J1621"/>
      <c r="K1621"/>
      <c r="L1621"/>
      <c r="M1621" s="18" t="s">
        <v>457</v>
      </c>
      <c r="N1621" t="s">
        <v>1392</v>
      </c>
      <c r="O1621" t="s">
        <v>1395</v>
      </c>
      <c r="P1621" s="1" t="s">
        <v>492</v>
      </c>
      <c r="Q1621" s="13" t="s">
        <v>25</v>
      </c>
      <c r="R1621">
        <v>2</v>
      </c>
      <c r="S1621">
        <v>5000</v>
      </c>
      <c r="T1621"/>
      <c r="U1621" s="9"/>
      <c r="V1621" s="9"/>
      <c r="W1621" s="9"/>
      <c r="X1621" s="9"/>
    </row>
    <row r="1622" spans="1:24">
      <c r="A1622" s="13" t="s">
        <v>19</v>
      </c>
      <c r="B1622" s="1"/>
      <c r="C1622" s="1" t="s">
        <v>29</v>
      </c>
      <c r="D1622" s="3">
        <v>10000</v>
      </c>
      <c r="E1622"/>
      <c r="F1622"/>
      <c r="G1622"/>
      <c r="H1622"/>
      <c r="I1622"/>
      <c r="J1622"/>
      <c r="K1622"/>
      <c r="L1622"/>
      <c r="M1622" s="18" t="s">
        <v>457</v>
      </c>
      <c r="N1622" t="s">
        <v>1392</v>
      </c>
      <c r="O1622" t="s">
        <v>1395</v>
      </c>
      <c r="P1622" s="1" t="s">
        <v>671</v>
      </c>
      <c r="Q1622" s="13" t="s">
        <v>25</v>
      </c>
      <c r="R1622">
        <v>2</v>
      </c>
      <c r="S1622">
        <v>5000</v>
      </c>
      <c r="T1622"/>
      <c r="U1622" s="9"/>
      <c r="V1622" s="9"/>
      <c r="W1622" s="9"/>
      <c r="X1622" s="9"/>
    </row>
    <row r="1623" spans="1:24">
      <c r="A1623" s="13"/>
      <c r="B1623" s="1"/>
      <c r="C1623" s="1"/>
      <c r="D1623" s="3" t="str">
        <f>SUBTOTAL(9,D1619:D1622)</f>
        <v>0</v>
      </c>
      <c r="E1623"/>
      <c r="F1623"/>
      <c r="G1623"/>
      <c r="H1623"/>
      <c r="I1623"/>
      <c r="J1623"/>
      <c r="K1623"/>
      <c r="L1623"/>
      <c r="M1623" s="18" t="s">
        <v>458</v>
      </c>
      <c r="N1623" t="s">
        <v>1574</v>
      </c>
      <c r="O1623" t="s">
        <v>1395</v>
      </c>
      <c r="P1623" s="1"/>
      <c r="Q1623" s="13"/>
      <c r="R1623"/>
      <c r="S1623"/>
      <c r="T1623"/>
      <c r="U1623" s="9"/>
      <c r="V1623" s="9"/>
      <c r="W1623" s="9"/>
      <c r="X1623" s="9"/>
    </row>
    <row r="1624" spans="1:24">
      <c r="A1624" s="13" t="s">
        <v>19</v>
      </c>
      <c r="B1624" s="1"/>
      <c r="C1624" s="1" t="s">
        <v>26</v>
      </c>
      <c r="D1624" s="3">
        <v>37000</v>
      </c>
      <c r="E1624"/>
      <c r="F1624"/>
      <c r="G1624"/>
      <c r="H1624"/>
      <c r="I1624"/>
      <c r="J1624"/>
      <c r="K1624"/>
      <c r="L1624"/>
      <c r="M1624" s="18" t="s">
        <v>459</v>
      </c>
      <c r="N1624" t="s">
        <v>1220</v>
      </c>
      <c r="O1624" t="s">
        <v>98</v>
      </c>
      <c r="P1624" s="1" t="s">
        <v>978</v>
      </c>
      <c r="Q1624" s="13" t="s">
        <v>25</v>
      </c>
      <c r="R1624">
        <v>1</v>
      </c>
      <c r="S1624">
        <v>37000</v>
      </c>
      <c r="T1624"/>
      <c r="U1624" s="9"/>
      <c r="V1624" s="9"/>
      <c r="W1624" s="9"/>
      <c r="X1624" s="9"/>
    </row>
    <row r="1625" spans="1:24">
      <c r="A1625" s="13" t="s">
        <v>19</v>
      </c>
      <c r="B1625" s="1"/>
      <c r="C1625" s="1" t="s">
        <v>26</v>
      </c>
      <c r="D1625" s="3">
        <v>74000</v>
      </c>
      <c r="E1625"/>
      <c r="F1625"/>
      <c r="G1625"/>
      <c r="H1625"/>
      <c r="I1625"/>
      <c r="J1625"/>
      <c r="K1625"/>
      <c r="L1625"/>
      <c r="M1625" s="18" t="s">
        <v>459</v>
      </c>
      <c r="N1625" t="s">
        <v>1220</v>
      </c>
      <c r="O1625" t="s">
        <v>98</v>
      </c>
      <c r="P1625" s="1" t="s">
        <v>965</v>
      </c>
      <c r="Q1625" s="13" t="s">
        <v>25</v>
      </c>
      <c r="R1625">
        <v>2</v>
      </c>
      <c r="S1625">
        <v>37000</v>
      </c>
      <c r="T1625"/>
      <c r="U1625" s="9"/>
      <c r="V1625" s="9"/>
      <c r="W1625" s="9"/>
      <c r="X1625" s="9"/>
    </row>
    <row r="1626" spans="1:24">
      <c r="A1626" s="13" t="s">
        <v>19</v>
      </c>
      <c r="B1626" s="1"/>
      <c r="C1626" s="1" t="s">
        <v>32</v>
      </c>
      <c r="D1626" s="3">
        <v>5000</v>
      </c>
      <c r="E1626"/>
      <c r="F1626"/>
      <c r="G1626"/>
      <c r="H1626"/>
      <c r="I1626"/>
      <c r="J1626"/>
      <c r="K1626"/>
      <c r="L1626"/>
      <c r="M1626" s="18" t="s">
        <v>459</v>
      </c>
      <c r="N1626" t="s">
        <v>1220</v>
      </c>
      <c r="O1626" t="s">
        <v>98</v>
      </c>
      <c r="P1626" s="1" t="s">
        <v>979</v>
      </c>
      <c r="Q1626" s="13" t="s">
        <v>25</v>
      </c>
      <c r="R1626">
        <v>1</v>
      </c>
      <c r="S1626">
        <v>5000</v>
      </c>
      <c r="T1626"/>
      <c r="U1626" s="9"/>
      <c r="V1626" s="9"/>
      <c r="W1626" s="9"/>
      <c r="X1626" s="9"/>
    </row>
    <row r="1627" spans="1:24">
      <c r="A1627" s="13" t="s">
        <v>19</v>
      </c>
      <c r="B1627" s="1"/>
      <c r="C1627" s="1" t="s">
        <v>32</v>
      </c>
      <c r="D1627" s="3">
        <v>10000</v>
      </c>
      <c r="E1627"/>
      <c r="F1627"/>
      <c r="G1627"/>
      <c r="H1627"/>
      <c r="I1627"/>
      <c r="J1627"/>
      <c r="K1627"/>
      <c r="L1627"/>
      <c r="M1627" s="18" t="s">
        <v>459</v>
      </c>
      <c r="N1627" t="s">
        <v>1220</v>
      </c>
      <c r="O1627" t="s">
        <v>98</v>
      </c>
      <c r="P1627" s="1" t="s">
        <v>967</v>
      </c>
      <c r="Q1627" s="13" t="s">
        <v>25</v>
      </c>
      <c r="R1627">
        <v>2</v>
      </c>
      <c r="S1627">
        <v>5000</v>
      </c>
      <c r="T1627"/>
      <c r="U1627" s="9"/>
      <c r="V1627" s="9"/>
      <c r="W1627" s="9"/>
      <c r="X1627" s="9"/>
    </row>
    <row r="1628" spans="1:24">
      <c r="A1628" s="13"/>
      <c r="B1628" s="1"/>
      <c r="C1628" s="1"/>
      <c r="D1628" s="3" t="str">
        <f>SUBTOTAL(9,D1624:D1627)</f>
        <v>0</v>
      </c>
      <c r="E1628"/>
      <c r="F1628"/>
      <c r="G1628"/>
      <c r="H1628"/>
      <c r="I1628"/>
      <c r="J1628"/>
      <c r="K1628"/>
      <c r="L1628"/>
      <c r="M1628" s="18" t="s">
        <v>460</v>
      </c>
      <c r="N1628" t="s">
        <v>1575</v>
      </c>
      <c r="O1628" t="s">
        <v>98</v>
      </c>
      <c r="P1628" s="1"/>
      <c r="Q1628" s="13"/>
      <c r="R1628"/>
      <c r="S1628"/>
      <c r="T1628"/>
      <c r="U1628" s="9"/>
      <c r="V1628" s="9"/>
      <c r="W1628" s="9"/>
      <c r="X1628" s="9"/>
    </row>
    <row r="1629" spans="1:24">
      <c r="A1629" s="13" t="s">
        <v>19</v>
      </c>
      <c r="B1629" s="1"/>
      <c r="C1629" s="1" t="s">
        <v>20</v>
      </c>
      <c r="D1629" s="3">
        <v>32000</v>
      </c>
      <c r="E1629"/>
      <c r="F1629"/>
      <c r="G1629"/>
      <c r="H1629"/>
      <c r="I1629"/>
      <c r="J1629"/>
      <c r="K1629"/>
      <c r="L1629"/>
      <c r="M1629" s="18" t="s">
        <v>461</v>
      </c>
      <c r="N1629" t="s">
        <v>1232</v>
      </c>
      <c r="O1629" t="s">
        <v>98</v>
      </c>
      <c r="P1629" s="1" t="s">
        <v>24</v>
      </c>
      <c r="Q1629" s="13" t="s">
        <v>25</v>
      </c>
      <c r="R1629">
        <v>1</v>
      </c>
      <c r="S1629">
        <v>32000</v>
      </c>
      <c r="T1629"/>
      <c r="U1629" s="9"/>
      <c r="V1629" s="9"/>
      <c r="W1629" s="9"/>
      <c r="X1629" s="9"/>
    </row>
    <row r="1630" spans="1:24">
      <c r="A1630" s="13" t="s">
        <v>19</v>
      </c>
      <c r="B1630" s="1"/>
      <c r="C1630" s="1" t="s">
        <v>29</v>
      </c>
      <c r="D1630" s="3">
        <v>5000</v>
      </c>
      <c r="E1630"/>
      <c r="F1630"/>
      <c r="G1630"/>
      <c r="H1630"/>
      <c r="I1630"/>
      <c r="J1630"/>
      <c r="K1630"/>
      <c r="L1630"/>
      <c r="M1630" s="18" t="s">
        <v>461</v>
      </c>
      <c r="N1630" t="s">
        <v>1232</v>
      </c>
      <c r="O1630" t="s">
        <v>98</v>
      </c>
      <c r="P1630" s="1" t="s">
        <v>30</v>
      </c>
      <c r="Q1630" s="13" t="s">
        <v>25</v>
      </c>
      <c r="R1630">
        <v>1</v>
      </c>
      <c r="S1630">
        <v>5000</v>
      </c>
      <c r="T1630"/>
      <c r="U1630" s="9"/>
      <c r="V1630" s="9"/>
      <c r="W1630" s="9"/>
      <c r="X1630" s="9"/>
    </row>
    <row r="1631" spans="1:24">
      <c r="A1631" s="13"/>
      <c r="B1631" s="1"/>
      <c r="C1631" s="1"/>
      <c r="D1631" s="3" t="str">
        <f>SUBTOTAL(9,D1629:D1630)</f>
        <v>0</v>
      </c>
      <c r="E1631"/>
      <c r="F1631"/>
      <c r="G1631"/>
      <c r="H1631"/>
      <c r="I1631"/>
      <c r="J1631"/>
      <c r="K1631"/>
      <c r="L1631"/>
      <c r="M1631" s="18" t="s">
        <v>462</v>
      </c>
      <c r="N1631" t="s">
        <v>1576</v>
      </c>
      <c r="O1631" t="s">
        <v>98</v>
      </c>
      <c r="P1631" s="1"/>
      <c r="Q1631" s="13"/>
      <c r="R1631"/>
      <c r="S1631"/>
      <c r="T1631"/>
      <c r="U1631" s="9"/>
      <c r="V1631" s="9"/>
      <c r="W1631" s="9"/>
      <c r="X1631" s="9"/>
    </row>
    <row r="1632" spans="1:24">
      <c r="A1632" s="13" t="s">
        <v>19</v>
      </c>
      <c r="B1632" s="1"/>
      <c r="C1632" s="1" t="s">
        <v>20</v>
      </c>
      <c r="D1632" s="3">
        <v>50000</v>
      </c>
      <c r="E1632"/>
      <c r="F1632"/>
      <c r="G1632"/>
      <c r="H1632"/>
      <c r="I1632"/>
      <c r="J1632"/>
      <c r="K1632"/>
      <c r="L1632"/>
      <c r="M1632" s="18" t="s">
        <v>463</v>
      </c>
      <c r="N1632" t="s">
        <v>1389</v>
      </c>
      <c r="O1632" t="s">
        <v>1395</v>
      </c>
      <c r="P1632" s="1" t="s">
        <v>928</v>
      </c>
      <c r="Q1632" s="13" t="s">
        <v>25</v>
      </c>
      <c r="R1632">
        <v>2</v>
      </c>
      <c r="S1632">
        <v>25000</v>
      </c>
      <c r="T1632"/>
      <c r="U1632" s="9"/>
      <c r="V1632" s="9"/>
      <c r="W1632" s="9"/>
      <c r="X1632" s="9"/>
    </row>
    <row r="1633" spans="1:24">
      <c r="A1633" s="13" t="s">
        <v>19</v>
      </c>
      <c r="B1633" s="1"/>
      <c r="C1633" s="1" t="s">
        <v>20</v>
      </c>
      <c r="D1633" s="3">
        <v>75000</v>
      </c>
      <c r="E1633"/>
      <c r="F1633"/>
      <c r="G1633"/>
      <c r="H1633"/>
      <c r="I1633"/>
      <c r="J1633"/>
      <c r="K1633"/>
      <c r="L1633"/>
      <c r="M1633" s="18" t="s">
        <v>463</v>
      </c>
      <c r="N1633" t="s">
        <v>1389</v>
      </c>
      <c r="O1633" t="s">
        <v>1395</v>
      </c>
      <c r="P1633" s="1" t="s">
        <v>561</v>
      </c>
      <c r="Q1633" s="13" t="s">
        <v>25</v>
      </c>
      <c r="R1633">
        <v>3</v>
      </c>
      <c r="S1633">
        <v>25000</v>
      </c>
      <c r="T1633"/>
      <c r="U1633" s="9"/>
      <c r="V1633" s="9"/>
      <c r="W1633" s="9"/>
      <c r="X1633" s="9"/>
    </row>
    <row r="1634" spans="1:24">
      <c r="A1634" s="13" t="s">
        <v>19</v>
      </c>
      <c r="B1634" s="1"/>
      <c r="C1634" s="1" t="s">
        <v>20</v>
      </c>
      <c r="D1634" s="3">
        <v>75000</v>
      </c>
      <c r="E1634"/>
      <c r="F1634"/>
      <c r="G1634"/>
      <c r="H1634"/>
      <c r="I1634"/>
      <c r="J1634"/>
      <c r="K1634"/>
      <c r="L1634"/>
      <c r="M1634" s="18" t="s">
        <v>463</v>
      </c>
      <c r="N1634" t="s">
        <v>1389</v>
      </c>
      <c r="O1634" t="s">
        <v>1395</v>
      </c>
      <c r="P1634" s="1" t="s">
        <v>980</v>
      </c>
      <c r="Q1634" s="13" t="s">
        <v>25</v>
      </c>
      <c r="R1634">
        <v>3</v>
      </c>
      <c r="S1634">
        <v>25000</v>
      </c>
      <c r="T1634"/>
      <c r="U1634" s="9"/>
      <c r="V1634" s="9"/>
      <c r="W1634" s="9"/>
      <c r="X1634" s="9"/>
    </row>
    <row r="1635" spans="1:24">
      <c r="A1635" s="13" t="s">
        <v>19</v>
      </c>
      <c r="B1635" s="1"/>
      <c r="C1635" s="1" t="s">
        <v>20</v>
      </c>
      <c r="D1635" s="3">
        <v>75000</v>
      </c>
      <c r="E1635"/>
      <c r="F1635"/>
      <c r="G1635"/>
      <c r="H1635"/>
      <c r="I1635"/>
      <c r="J1635"/>
      <c r="K1635"/>
      <c r="L1635"/>
      <c r="M1635" s="18" t="s">
        <v>463</v>
      </c>
      <c r="N1635" t="s">
        <v>1389</v>
      </c>
      <c r="O1635" t="s">
        <v>1395</v>
      </c>
      <c r="P1635" s="1" t="s">
        <v>864</v>
      </c>
      <c r="Q1635" s="13" t="s">
        <v>25</v>
      </c>
      <c r="R1635">
        <v>3</v>
      </c>
      <c r="S1635">
        <v>25000</v>
      </c>
      <c r="T1635"/>
      <c r="U1635" s="9"/>
      <c r="V1635" s="9"/>
      <c r="W1635" s="9"/>
      <c r="X1635" s="9"/>
    </row>
    <row r="1636" spans="1:24">
      <c r="A1636" s="13" t="s">
        <v>19</v>
      </c>
      <c r="B1636" s="1"/>
      <c r="C1636" s="1" t="s">
        <v>20</v>
      </c>
      <c r="D1636" s="3">
        <v>25000</v>
      </c>
      <c r="E1636"/>
      <c r="F1636"/>
      <c r="G1636"/>
      <c r="H1636"/>
      <c r="I1636"/>
      <c r="J1636"/>
      <c r="K1636"/>
      <c r="L1636"/>
      <c r="M1636" s="18" t="s">
        <v>463</v>
      </c>
      <c r="N1636" t="s">
        <v>1389</v>
      </c>
      <c r="O1636" t="s">
        <v>1395</v>
      </c>
      <c r="P1636" s="1" t="s">
        <v>981</v>
      </c>
      <c r="Q1636" s="13" t="s">
        <v>25</v>
      </c>
      <c r="R1636">
        <v>1</v>
      </c>
      <c r="S1636">
        <v>25000</v>
      </c>
      <c r="T1636"/>
      <c r="U1636" s="9"/>
      <c r="V1636" s="9"/>
      <c r="W1636" s="9"/>
      <c r="X1636" s="9"/>
    </row>
    <row r="1637" spans="1:24">
      <c r="A1637" s="13" t="s">
        <v>19</v>
      </c>
      <c r="B1637" s="1"/>
      <c r="C1637" s="1" t="s">
        <v>29</v>
      </c>
      <c r="D1637" s="3">
        <v>10000</v>
      </c>
      <c r="E1637"/>
      <c r="F1637"/>
      <c r="G1637"/>
      <c r="H1637"/>
      <c r="I1637"/>
      <c r="J1637"/>
      <c r="K1637"/>
      <c r="L1637"/>
      <c r="M1637" s="18" t="s">
        <v>463</v>
      </c>
      <c r="N1637" t="s">
        <v>1389</v>
      </c>
      <c r="O1637" t="s">
        <v>1395</v>
      </c>
      <c r="P1637" s="1" t="s">
        <v>929</v>
      </c>
      <c r="Q1637" s="13" t="s">
        <v>25</v>
      </c>
      <c r="R1637">
        <v>2</v>
      </c>
      <c r="S1637">
        <v>5000</v>
      </c>
      <c r="T1637"/>
      <c r="U1637" s="9"/>
      <c r="V1637" s="9"/>
      <c r="W1637" s="9"/>
      <c r="X1637" s="9"/>
    </row>
    <row r="1638" spans="1:24">
      <c r="A1638" s="13" t="s">
        <v>19</v>
      </c>
      <c r="B1638" s="1"/>
      <c r="C1638" s="1" t="s">
        <v>29</v>
      </c>
      <c r="D1638" s="3">
        <v>15000</v>
      </c>
      <c r="E1638"/>
      <c r="F1638"/>
      <c r="G1638"/>
      <c r="H1638"/>
      <c r="I1638"/>
      <c r="J1638"/>
      <c r="K1638"/>
      <c r="L1638"/>
      <c r="M1638" s="18" t="s">
        <v>463</v>
      </c>
      <c r="N1638" t="s">
        <v>1389</v>
      </c>
      <c r="O1638" t="s">
        <v>1395</v>
      </c>
      <c r="P1638" s="1" t="s">
        <v>563</v>
      </c>
      <c r="Q1638" s="13" t="s">
        <v>25</v>
      </c>
      <c r="R1638">
        <v>3</v>
      </c>
      <c r="S1638">
        <v>5000</v>
      </c>
      <c r="T1638"/>
      <c r="U1638" s="9"/>
      <c r="V1638" s="9"/>
      <c r="W1638" s="9"/>
      <c r="X1638" s="9"/>
    </row>
    <row r="1639" spans="1:24">
      <c r="A1639" s="13" t="s">
        <v>19</v>
      </c>
      <c r="B1639" s="1"/>
      <c r="C1639" s="1" t="s">
        <v>29</v>
      </c>
      <c r="D1639" s="3">
        <v>15000</v>
      </c>
      <c r="E1639"/>
      <c r="F1639"/>
      <c r="G1639"/>
      <c r="H1639"/>
      <c r="I1639"/>
      <c r="J1639"/>
      <c r="K1639"/>
      <c r="L1639"/>
      <c r="M1639" s="18" t="s">
        <v>463</v>
      </c>
      <c r="N1639" t="s">
        <v>1389</v>
      </c>
      <c r="O1639" t="s">
        <v>1395</v>
      </c>
      <c r="P1639" s="1" t="s">
        <v>982</v>
      </c>
      <c r="Q1639" s="13" t="s">
        <v>25</v>
      </c>
      <c r="R1639">
        <v>3</v>
      </c>
      <c r="S1639">
        <v>5000</v>
      </c>
      <c r="T1639"/>
      <c r="U1639" s="9"/>
      <c r="V1639" s="9"/>
      <c r="W1639" s="9"/>
      <c r="X1639" s="9"/>
    </row>
    <row r="1640" spans="1:24">
      <c r="A1640" s="13" t="s">
        <v>19</v>
      </c>
      <c r="B1640" s="1"/>
      <c r="C1640" s="1" t="s">
        <v>29</v>
      </c>
      <c r="D1640" s="3">
        <v>15000</v>
      </c>
      <c r="E1640"/>
      <c r="F1640"/>
      <c r="G1640"/>
      <c r="H1640"/>
      <c r="I1640"/>
      <c r="J1640"/>
      <c r="K1640"/>
      <c r="L1640"/>
      <c r="M1640" s="18" t="s">
        <v>463</v>
      </c>
      <c r="N1640" t="s">
        <v>1389</v>
      </c>
      <c r="O1640" t="s">
        <v>1395</v>
      </c>
      <c r="P1640" s="1" t="s">
        <v>871</v>
      </c>
      <c r="Q1640" s="13" t="s">
        <v>25</v>
      </c>
      <c r="R1640">
        <v>3</v>
      </c>
      <c r="S1640">
        <v>5000</v>
      </c>
      <c r="T1640"/>
      <c r="U1640" s="9"/>
      <c r="V1640" s="9"/>
      <c r="W1640" s="9"/>
      <c r="X1640" s="9"/>
    </row>
    <row r="1641" spans="1:24">
      <c r="A1641" s="13" t="s">
        <v>19</v>
      </c>
      <c r="B1641" s="1"/>
      <c r="C1641" s="1" t="s">
        <v>29</v>
      </c>
      <c r="D1641" s="3">
        <v>5000</v>
      </c>
      <c r="E1641"/>
      <c r="F1641"/>
      <c r="G1641"/>
      <c r="H1641"/>
      <c r="I1641"/>
      <c r="J1641"/>
      <c r="K1641"/>
      <c r="L1641"/>
      <c r="M1641" s="18" t="s">
        <v>463</v>
      </c>
      <c r="N1641" t="s">
        <v>1389</v>
      </c>
      <c r="O1641" t="s">
        <v>1395</v>
      </c>
      <c r="P1641" s="1" t="s">
        <v>983</v>
      </c>
      <c r="Q1641" s="13" t="s">
        <v>25</v>
      </c>
      <c r="R1641">
        <v>1</v>
      </c>
      <c r="S1641">
        <v>5000</v>
      </c>
      <c r="T1641"/>
      <c r="U1641" s="9"/>
      <c r="V1641" s="9"/>
      <c r="W1641" s="9"/>
      <c r="X1641" s="9"/>
    </row>
    <row r="1642" spans="1:24">
      <c r="A1642" s="13"/>
      <c r="B1642" s="1"/>
      <c r="C1642" s="1"/>
      <c r="D1642" s="3" t="str">
        <f>SUBTOTAL(9,D1632:D1641)</f>
        <v>0</v>
      </c>
      <c r="E1642"/>
      <c r="F1642"/>
      <c r="G1642"/>
      <c r="H1642"/>
      <c r="I1642"/>
      <c r="J1642"/>
      <c r="K1642"/>
      <c r="L1642"/>
      <c r="M1642" s="18" t="s">
        <v>464</v>
      </c>
      <c r="N1642" t="s">
        <v>1577</v>
      </c>
      <c r="O1642" t="s">
        <v>1395</v>
      </c>
      <c r="P1642" s="1"/>
      <c r="Q1642" s="13"/>
      <c r="R1642"/>
      <c r="S1642"/>
      <c r="T1642"/>
      <c r="U1642" s="9"/>
      <c r="V1642" s="9"/>
      <c r="W1642" s="9"/>
      <c r="X1642" s="9"/>
    </row>
    <row r="1643" spans="1:24">
      <c r="A1643" s="13" t="s">
        <v>19</v>
      </c>
      <c r="B1643" s="1"/>
      <c r="C1643" s="1" t="s">
        <v>26</v>
      </c>
      <c r="D1643" s="3">
        <v>32000</v>
      </c>
      <c r="E1643"/>
      <c r="F1643"/>
      <c r="G1643"/>
      <c r="H1643"/>
      <c r="I1643"/>
      <c r="J1643"/>
      <c r="K1643"/>
      <c r="L1643"/>
      <c r="M1643" s="18" t="s">
        <v>465</v>
      </c>
      <c r="N1643" t="s">
        <v>1382</v>
      </c>
      <c r="O1643" t="s">
        <v>1395</v>
      </c>
      <c r="P1643" s="1" t="s">
        <v>512</v>
      </c>
      <c r="Q1643" s="13" t="s">
        <v>25</v>
      </c>
      <c r="R1643">
        <v>1</v>
      </c>
      <c r="S1643">
        <v>32000</v>
      </c>
      <c r="T1643"/>
      <c r="U1643" s="9"/>
      <c r="V1643" s="9"/>
      <c r="W1643" s="9"/>
      <c r="X1643" s="9"/>
    </row>
    <row r="1644" spans="1:24">
      <c r="A1644" s="13" t="s">
        <v>19</v>
      </c>
      <c r="B1644" s="1"/>
      <c r="C1644" s="1" t="s">
        <v>32</v>
      </c>
      <c r="D1644" s="3">
        <v>5000</v>
      </c>
      <c r="E1644"/>
      <c r="F1644"/>
      <c r="G1644"/>
      <c r="H1644"/>
      <c r="I1644"/>
      <c r="J1644"/>
      <c r="K1644"/>
      <c r="L1644"/>
      <c r="M1644" s="18" t="s">
        <v>465</v>
      </c>
      <c r="N1644" t="s">
        <v>1382</v>
      </c>
      <c r="O1644" t="s">
        <v>1395</v>
      </c>
      <c r="P1644" s="1" t="s">
        <v>515</v>
      </c>
      <c r="Q1644" s="13" t="s">
        <v>25</v>
      </c>
      <c r="R1644">
        <v>1</v>
      </c>
      <c r="S1644">
        <v>5000</v>
      </c>
      <c r="T1644"/>
      <c r="U1644" s="9"/>
      <c r="V1644" s="9"/>
      <c r="W1644" s="9"/>
      <c r="X1644" s="9"/>
    </row>
    <row r="1645" spans="1:24">
      <c r="A1645" s="13"/>
      <c r="B1645" s="1"/>
      <c r="C1645" s="1"/>
      <c r="D1645" s="3" t="str">
        <f>SUBTOTAL(9,D1643:D1644)</f>
        <v>0</v>
      </c>
      <c r="E1645"/>
      <c r="F1645"/>
      <c r="G1645"/>
      <c r="H1645"/>
      <c r="I1645"/>
      <c r="J1645"/>
      <c r="K1645"/>
      <c r="L1645"/>
      <c r="M1645" s="18" t="s">
        <v>466</v>
      </c>
      <c r="N1645" t="s">
        <v>1578</v>
      </c>
      <c r="O1645" t="s">
        <v>1395</v>
      </c>
      <c r="P1645" s="1"/>
      <c r="Q1645" s="13"/>
      <c r="R1645"/>
      <c r="S1645"/>
      <c r="T1645"/>
      <c r="U1645" s="9"/>
      <c r="V1645" s="9"/>
      <c r="W1645" s="9"/>
      <c r="X1645" s="9"/>
    </row>
    <row r="1646" spans="1:24">
      <c r="A1646" s="13" t="s">
        <v>19</v>
      </c>
      <c r="B1646" s="1"/>
      <c r="C1646" s="1" t="s">
        <v>26</v>
      </c>
      <c r="D1646" s="3">
        <v>32000</v>
      </c>
      <c r="E1646"/>
      <c r="F1646"/>
      <c r="G1646"/>
      <c r="H1646"/>
      <c r="I1646"/>
      <c r="J1646"/>
      <c r="K1646"/>
      <c r="L1646"/>
      <c r="M1646" s="18" t="s">
        <v>467</v>
      </c>
      <c r="N1646" t="s">
        <v>1340</v>
      </c>
      <c r="O1646" t="s">
        <v>23</v>
      </c>
      <c r="P1646" s="1" t="s">
        <v>512</v>
      </c>
      <c r="Q1646" s="13" t="s">
        <v>1018</v>
      </c>
      <c r="R1646">
        <v>1</v>
      </c>
      <c r="S1646">
        <v>32000</v>
      </c>
      <c r="T1646"/>
      <c r="U1646" s="9"/>
      <c r="V1646" s="9"/>
      <c r="W1646" s="9"/>
      <c r="X1646" s="9"/>
    </row>
    <row r="1647" spans="1:24">
      <c r="A1647" s="13" t="s">
        <v>19</v>
      </c>
      <c r="B1647" s="1"/>
      <c r="C1647" s="1" t="s">
        <v>26</v>
      </c>
      <c r="D1647" s="3">
        <v>37000</v>
      </c>
      <c r="E1647"/>
      <c r="F1647"/>
      <c r="G1647"/>
      <c r="H1647"/>
      <c r="I1647"/>
      <c r="J1647"/>
      <c r="K1647"/>
      <c r="L1647"/>
      <c r="M1647" s="18" t="s">
        <v>467</v>
      </c>
      <c r="N1647" t="s">
        <v>1340</v>
      </c>
      <c r="O1647" t="s">
        <v>23</v>
      </c>
      <c r="P1647" s="1" t="s">
        <v>984</v>
      </c>
      <c r="Q1647" s="13" t="s">
        <v>1018</v>
      </c>
      <c r="R1647">
        <v>1</v>
      </c>
      <c r="S1647">
        <v>37000</v>
      </c>
      <c r="T1647"/>
      <c r="U1647" s="9"/>
      <c r="V1647" s="9"/>
      <c r="W1647" s="9"/>
      <c r="X1647" s="9"/>
    </row>
    <row r="1648" spans="1:24">
      <c r="A1648" s="13" t="s">
        <v>19</v>
      </c>
      <c r="B1648" s="1"/>
      <c r="C1648" s="1" t="s">
        <v>26</v>
      </c>
      <c r="D1648" s="3">
        <v>37000</v>
      </c>
      <c r="E1648"/>
      <c r="F1648"/>
      <c r="G1648"/>
      <c r="H1648"/>
      <c r="I1648"/>
      <c r="J1648"/>
      <c r="K1648"/>
      <c r="L1648"/>
      <c r="M1648" s="18" t="s">
        <v>467</v>
      </c>
      <c r="N1648" t="s">
        <v>1340</v>
      </c>
      <c r="O1648" t="s">
        <v>23</v>
      </c>
      <c r="P1648" s="1" t="s">
        <v>985</v>
      </c>
      <c r="Q1648" s="13" t="s">
        <v>1018</v>
      </c>
      <c r="R1648">
        <v>1</v>
      </c>
      <c r="S1648">
        <v>37000</v>
      </c>
      <c r="T1648"/>
      <c r="U1648" s="9"/>
      <c r="V1648" s="9"/>
      <c r="W1648" s="9"/>
      <c r="X1648" s="9"/>
    </row>
    <row r="1649" spans="1:24">
      <c r="A1649" s="13" t="s">
        <v>19</v>
      </c>
      <c r="B1649" s="1"/>
      <c r="C1649" s="1" t="s">
        <v>32</v>
      </c>
      <c r="D1649" s="3">
        <v>5000</v>
      </c>
      <c r="E1649"/>
      <c r="F1649"/>
      <c r="G1649"/>
      <c r="H1649"/>
      <c r="I1649"/>
      <c r="J1649"/>
      <c r="K1649"/>
      <c r="L1649"/>
      <c r="M1649" s="18" t="s">
        <v>467</v>
      </c>
      <c r="N1649" t="s">
        <v>1340</v>
      </c>
      <c r="O1649" t="s">
        <v>23</v>
      </c>
      <c r="P1649" s="1" t="s">
        <v>515</v>
      </c>
      <c r="Q1649" s="13" t="s">
        <v>1018</v>
      </c>
      <c r="R1649">
        <v>1</v>
      </c>
      <c r="S1649">
        <v>5000</v>
      </c>
      <c r="T1649"/>
      <c r="U1649" s="9"/>
      <c r="V1649" s="9"/>
      <c r="W1649" s="9"/>
      <c r="X1649" s="9"/>
    </row>
    <row r="1650" spans="1:24">
      <c r="A1650" s="13" t="s">
        <v>19</v>
      </c>
      <c r="B1650" s="1"/>
      <c r="C1650" s="1" t="s">
        <v>32</v>
      </c>
      <c r="D1650" s="3">
        <v>5000</v>
      </c>
      <c r="E1650"/>
      <c r="F1650"/>
      <c r="G1650"/>
      <c r="H1650"/>
      <c r="I1650"/>
      <c r="J1650"/>
      <c r="K1650"/>
      <c r="L1650"/>
      <c r="M1650" s="18" t="s">
        <v>467</v>
      </c>
      <c r="N1650" t="s">
        <v>1340</v>
      </c>
      <c r="O1650" t="s">
        <v>23</v>
      </c>
      <c r="P1650" s="1" t="s">
        <v>986</v>
      </c>
      <c r="Q1650" s="13" t="s">
        <v>1018</v>
      </c>
      <c r="R1650">
        <v>1</v>
      </c>
      <c r="S1650">
        <v>5000</v>
      </c>
      <c r="T1650"/>
      <c r="U1650" s="9"/>
      <c r="V1650" s="9"/>
      <c r="W1650" s="9"/>
      <c r="X1650" s="9"/>
    </row>
    <row r="1651" spans="1:24">
      <c r="A1651" s="13" t="s">
        <v>19</v>
      </c>
      <c r="B1651" s="1"/>
      <c r="C1651" s="1" t="s">
        <v>32</v>
      </c>
      <c r="D1651" s="3">
        <v>5000</v>
      </c>
      <c r="E1651"/>
      <c r="F1651"/>
      <c r="G1651"/>
      <c r="H1651"/>
      <c r="I1651"/>
      <c r="J1651"/>
      <c r="K1651"/>
      <c r="L1651"/>
      <c r="M1651" s="18" t="s">
        <v>467</v>
      </c>
      <c r="N1651" t="s">
        <v>1340</v>
      </c>
      <c r="O1651" t="s">
        <v>23</v>
      </c>
      <c r="P1651" s="1" t="s">
        <v>987</v>
      </c>
      <c r="Q1651" s="13" t="s">
        <v>1018</v>
      </c>
      <c r="R1651">
        <v>1</v>
      </c>
      <c r="S1651">
        <v>5000</v>
      </c>
      <c r="T1651"/>
      <c r="U1651" s="9"/>
      <c r="V1651" s="9"/>
      <c r="W1651" s="9"/>
      <c r="X1651" s="9"/>
    </row>
    <row r="1652" spans="1:24">
      <c r="A1652" s="13"/>
      <c r="B1652" s="1"/>
      <c r="C1652" s="1"/>
      <c r="D1652" s="3" t="str">
        <f>SUBTOTAL(9,D1646:D1651)</f>
        <v>0</v>
      </c>
      <c r="E1652"/>
      <c r="F1652"/>
      <c r="G1652"/>
      <c r="H1652"/>
      <c r="I1652"/>
      <c r="J1652"/>
      <c r="K1652"/>
      <c r="L1652"/>
      <c r="M1652" s="18" t="s">
        <v>468</v>
      </c>
      <c r="N1652" t="s">
        <v>1579</v>
      </c>
      <c r="O1652" t="s">
        <v>23</v>
      </c>
      <c r="P1652" s="1"/>
      <c r="Q1652" s="13"/>
      <c r="R1652"/>
      <c r="S1652"/>
      <c r="T1652"/>
      <c r="U1652" s="9"/>
      <c r="V1652" s="9"/>
      <c r="W1652" s="9"/>
      <c r="X1652" s="9"/>
    </row>
    <row r="1653" spans="1:24">
      <c r="A1653" s="13" t="s">
        <v>19</v>
      </c>
      <c r="B1653" s="1"/>
      <c r="C1653" s="1" t="s">
        <v>20</v>
      </c>
      <c r="D1653" s="3">
        <v>27000</v>
      </c>
      <c r="E1653"/>
      <c r="F1653"/>
      <c r="G1653"/>
      <c r="H1653"/>
      <c r="I1653"/>
      <c r="J1653"/>
      <c r="K1653"/>
      <c r="L1653"/>
      <c r="M1653" s="18" t="s">
        <v>469</v>
      </c>
      <c r="N1653" t="s">
        <v>1199</v>
      </c>
      <c r="O1653"/>
      <c r="P1653" s="1" t="s">
        <v>24</v>
      </c>
      <c r="Q1653" s="13" t="s">
        <v>25</v>
      </c>
      <c r="R1653">
        <v>1</v>
      </c>
      <c r="S1653">
        <v>27000</v>
      </c>
      <c r="T1653"/>
      <c r="U1653" s="9"/>
      <c r="V1653" s="9"/>
      <c r="W1653" s="9"/>
      <c r="X1653" s="9"/>
    </row>
    <row r="1654" spans="1:24">
      <c r="A1654" s="13" t="s">
        <v>19</v>
      </c>
      <c r="B1654" s="1"/>
      <c r="C1654" s="1" t="s">
        <v>29</v>
      </c>
      <c r="D1654" s="3">
        <v>10000</v>
      </c>
      <c r="E1654"/>
      <c r="F1654"/>
      <c r="G1654"/>
      <c r="H1654"/>
      <c r="I1654"/>
      <c r="J1654"/>
      <c r="K1654"/>
      <c r="L1654"/>
      <c r="M1654" s="18" t="s">
        <v>469</v>
      </c>
      <c r="N1654" t="s">
        <v>1199</v>
      </c>
      <c r="O1654"/>
      <c r="P1654" s="1" t="s">
        <v>30</v>
      </c>
      <c r="Q1654" s="13" t="s">
        <v>25</v>
      </c>
      <c r="R1654">
        <v>1</v>
      </c>
      <c r="S1654">
        <v>10000</v>
      </c>
      <c r="T1654"/>
      <c r="U1654" s="9"/>
      <c r="V1654" s="9"/>
      <c r="W1654" s="9"/>
      <c r="X1654" s="9"/>
    </row>
    <row r="1655" spans="1:24">
      <c r="A1655" s="13"/>
      <c r="B1655" s="1"/>
      <c r="C1655" s="1"/>
      <c r="D1655" s="3" t="str">
        <f>SUBTOTAL(9,D1653:D1654)</f>
        <v>0</v>
      </c>
      <c r="E1655"/>
      <c r="F1655"/>
      <c r="G1655"/>
      <c r="H1655"/>
      <c r="I1655"/>
      <c r="J1655"/>
      <c r="K1655"/>
      <c r="L1655"/>
      <c r="M1655" s="18" t="s">
        <v>470</v>
      </c>
      <c r="N1655" t="s">
        <v>1580</v>
      </c>
      <c r="O1655"/>
      <c r="P1655" s="1"/>
      <c r="Q1655" s="13"/>
      <c r="R1655"/>
      <c r="S1655"/>
      <c r="T1655"/>
      <c r="U1655" s="9"/>
      <c r="V1655" s="9"/>
      <c r="W1655" s="9"/>
      <c r="X1655" s="9"/>
    </row>
    <row r="1656" spans="1:24">
      <c r="A1656" s="13" t="s">
        <v>19</v>
      </c>
      <c r="B1656" s="1"/>
      <c r="C1656" s="1" t="s">
        <v>20</v>
      </c>
      <c r="D1656" s="3">
        <v>54000</v>
      </c>
      <c r="E1656"/>
      <c r="F1656"/>
      <c r="G1656"/>
      <c r="H1656"/>
      <c r="I1656"/>
      <c r="J1656"/>
      <c r="K1656"/>
      <c r="L1656"/>
      <c r="M1656" s="18" t="s">
        <v>471</v>
      </c>
      <c r="N1656" t="s">
        <v>1283</v>
      </c>
      <c r="O1656" t="s">
        <v>96</v>
      </c>
      <c r="P1656" s="1" t="s">
        <v>690</v>
      </c>
      <c r="Q1656" s="13" t="s">
        <v>25</v>
      </c>
      <c r="R1656">
        <v>2</v>
      </c>
      <c r="S1656">
        <v>27000</v>
      </c>
      <c r="T1656"/>
      <c r="U1656" s="9"/>
      <c r="V1656" s="9"/>
      <c r="W1656" s="9"/>
      <c r="X1656" s="9"/>
    </row>
    <row r="1657" spans="1:24">
      <c r="A1657" s="13" t="s">
        <v>19</v>
      </c>
      <c r="B1657" s="1"/>
      <c r="C1657" s="1" t="s">
        <v>20</v>
      </c>
      <c r="D1657" s="3">
        <v>54000</v>
      </c>
      <c r="E1657"/>
      <c r="F1657"/>
      <c r="G1657"/>
      <c r="H1657"/>
      <c r="I1657"/>
      <c r="J1657"/>
      <c r="K1657"/>
      <c r="L1657"/>
      <c r="M1657" s="18" t="s">
        <v>471</v>
      </c>
      <c r="N1657" t="s">
        <v>1283</v>
      </c>
      <c r="O1657" t="s">
        <v>96</v>
      </c>
      <c r="P1657" s="1" t="s">
        <v>665</v>
      </c>
      <c r="Q1657" s="13" t="s">
        <v>25</v>
      </c>
      <c r="R1657">
        <v>2</v>
      </c>
      <c r="S1657">
        <v>27000</v>
      </c>
      <c r="T1657"/>
      <c r="U1657" s="9"/>
      <c r="V1657" s="9"/>
      <c r="W1657" s="9"/>
      <c r="X1657" s="9"/>
    </row>
    <row r="1658" spans="1:24">
      <c r="A1658" s="13" t="s">
        <v>19</v>
      </c>
      <c r="B1658" s="1"/>
      <c r="C1658" s="1" t="s">
        <v>20</v>
      </c>
      <c r="D1658" s="3">
        <v>54000</v>
      </c>
      <c r="E1658"/>
      <c r="F1658"/>
      <c r="G1658"/>
      <c r="H1658"/>
      <c r="I1658"/>
      <c r="J1658"/>
      <c r="K1658"/>
      <c r="L1658"/>
      <c r="M1658" s="18" t="s">
        <v>471</v>
      </c>
      <c r="N1658" t="s">
        <v>1283</v>
      </c>
      <c r="O1658" t="s">
        <v>96</v>
      </c>
      <c r="P1658" s="1" t="s">
        <v>518</v>
      </c>
      <c r="Q1658" s="13" t="s">
        <v>25</v>
      </c>
      <c r="R1658">
        <v>2</v>
      </c>
      <c r="S1658">
        <v>27000</v>
      </c>
      <c r="T1658"/>
      <c r="U1658" s="9"/>
      <c r="V1658" s="9"/>
      <c r="W1658" s="9"/>
      <c r="X1658" s="9"/>
    </row>
    <row r="1659" spans="1:24">
      <c r="A1659" s="13" t="s">
        <v>19</v>
      </c>
      <c r="B1659" s="1"/>
      <c r="C1659" s="1" t="s">
        <v>20</v>
      </c>
      <c r="D1659" s="3">
        <v>54000</v>
      </c>
      <c r="E1659"/>
      <c r="F1659"/>
      <c r="G1659"/>
      <c r="H1659"/>
      <c r="I1659"/>
      <c r="J1659"/>
      <c r="K1659"/>
      <c r="L1659"/>
      <c r="M1659" s="18" t="s">
        <v>471</v>
      </c>
      <c r="N1659" t="s">
        <v>1283</v>
      </c>
      <c r="O1659" t="s">
        <v>96</v>
      </c>
      <c r="P1659" s="1" t="s">
        <v>988</v>
      </c>
      <c r="Q1659" s="13" t="s">
        <v>25</v>
      </c>
      <c r="R1659">
        <v>2</v>
      </c>
      <c r="S1659">
        <v>27000</v>
      </c>
      <c r="T1659"/>
      <c r="U1659" s="9"/>
      <c r="V1659" s="9"/>
      <c r="W1659" s="9"/>
      <c r="X1659" s="9"/>
    </row>
    <row r="1660" spans="1:24">
      <c r="A1660" s="13" t="s">
        <v>19</v>
      </c>
      <c r="B1660" s="1"/>
      <c r="C1660" s="1" t="s">
        <v>20</v>
      </c>
      <c r="D1660" s="3">
        <v>27000</v>
      </c>
      <c r="E1660"/>
      <c r="F1660"/>
      <c r="G1660"/>
      <c r="H1660"/>
      <c r="I1660"/>
      <c r="J1660"/>
      <c r="K1660"/>
      <c r="L1660"/>
      <c r="M1660" s="18" t="s">
        <v>471</v>
      </c>
      <c r="N1660" t="s">
        <v>1283</v>
      </c>
      <c r="O1660" t="s">
        <v>96</v>
      </c>
      <c r="P1660" s="1" t="s">
        <v>604</v>
      </c>
      <c r="Q1660" s="13" t="s">
        <v>25</v>
      </c>
      <c r="R1660">
        <v>1</v>
      </c>
      <c r="S1660">
        <v>27000</v>
      </c>
      <c r="T1660"/>
      <c r="U1660" s="9"/>
      <c r="V1660" s="9"/>
      <c r="W1660" s="9"/>
      <c r="X1660" s="9"/>
    </row>
    <row r="1661" spans="1:24">
      <c r="A1661" s="13" t="s">
        <v>19</v>
      </c>
      <c r="B1661" s="1"/>
      <c r="C1661" s="1" t="s">
        <v>20</v>
      </c>
      <c r="D1661" s="3">
        <v>27000</v>
      </c>
      <c r="E1661"/>
      <c r="F1661"/>
      <c r="G1661"/>
      <c r="H1661"/>
      <c r="I1661"/>
      <c r="J1661"/>
      <c r="K1661"/>
      <c r="L1661"/>
      <c r="M1661" s="18" t="s">
        <v>471</v>
      </c>
      <c r="N1661" t="s">
        <v>1283</v>
      </c>
      <c r="O1661" t="s">
        <v>96</v>
      </c>
      <c r="P1661" s="1" t="s">
        <v>548</v>
      </c>
      <c r="Q1661" s="13" t="s">
        <v>25</v>
      </c>
      <c r="R1661">
        <v>1</v>
      </c>
      <c r="S1661">
        <v>27000</v>
      </c>
      <c r="T1661"/>
      <c r="U1661" s="9"/>
      <c r="V1661" s="9"/>
      <c r="W1661" s="9"/>
      <c r="X1661" s="9"/>
    </row>
    <row r="1662" spans="1:24">
      <c r="A1662" s="13" t="s">
        <v>19</v>
      </c>
      <c r="B1662" s="1"/>
      <c r="C1662" s="1" t="s">
        <v>20</v>
      </c>
      <c r="D1662" s="3">
        <v>27000</v>
      </c>
      <c r="E1662"/>
      <c r="F1662"/>
      <c r="G1662"/>
      <c r="H1662"/>
      <c r="I1662"/>
      <c r="J1662"/>
      <c r="K1662"/>
      <c r="L1662"/>
      <c r="M1662" s="18" t="s">
        <v>471</v>
      </c>
      <c r="N1662" t="s">
        <v>1283</v>
      </c>
      <c r="O1662" t="s">
        <v>96</v>
      </c>
      <c r="P1662" s="1" t="s">
        <v>989</v>
      </c>
      <c r="Q1662" s="13" t="s">
        <v>25</v>
      </c>
      <c r="R1662">
        <v>1</v>
      </c>
      <c r="S1662">
        <v>27000</v>
      </c>
      <c r="T1662"/>
      <c r="U1662" s="9"/>
      <c r="V1662" s="9"/>
      <c r="W1662" s="9"/>
      <c r="X1662" s="9"/>
    </row>
    <row r="1663" spans="1:24">
      <c r="A1663" s="13" t="s">
        <v>19</v>
      </c>
      <c r="B1663" s="1"/>
      <c r="C1663" s="1" t="s">
        <v>20</v>
      </c>
      <c r="D1663" s="3">
        <v>27000</v>
      </c>
      <c r="E1663"/>
      <c r="F1663"/>
      <c r="G1663"/>
      <c r="H1663"/>
      <c r="I1663"/>
      <c r="J1663"/>
      <c r="K1663"/>
      <c r="L1663"/>
      <c r="M1663" s="18" t="s">
        <v>471</v>
      </c>
      <c r="N1663" t="s">
        <v>1283</v>
      </c>
      <c r="O1663" t="s">
        <v>96</v>
      </c>
      <c r="P1663" s="1" t="s">
        <v>990</v>
      </c>
      <c r="Q1663" s="13" t="s">
        <v>25</v>
      </c>
      <c r="R1663">
        <v>1</v>
      </c>
      <c r="S1663">
        <v>27000</v>
      </c>
      <c r="T1663"/>
      <c r="U1663" s="9"/>
      <c r="V1663" s="9"/>
      <c r="W1663" s="9"/>
      <c r="X1663" s="9"/>
    </row>
    <row r="1664" spans="1:24">
      <c r="A1664" s="13" t="s">
        <v>19</v>
      </c>
      <c r="B1664" s="1"/>
      <c r="C1664" s="1" t="s">
        <v>20</v>
      </c>
      <c r="D1664" s="3">
        <v>54000</v>
      </c>
      <c r="E1664"/>
      <c r="F1664"/>
      <c r="G1664"/>
      <c r="H1664"/>
      <c r="I1664"/>
      <c r="J1664"/>
      <c r="K1664"/>
      <c r="L1664"/>
      <c r="M1664" s="18" t="s">
        <v>471</v>
      </c>
      <c r="N1664" t="s">
        <v>1283</v>
      </c>
      <c r="O1664" t="s">
        <v>96</v>
      </c>
      <c r="P1664" s="1" t="s">
        <v>908</v>
      </c>
      <c r="Q1664" s="13" t="s">
        <v>25</v>
      </c>
      <c r="R1664">
        <v>2</v>
      </c>
      <c r="S1664">
        <v>27000</v>
      </c>
      <c r="T1664"/>
      <c r="U1664" s="9"/>
      <c r="V1664" s="9"/>
      <c r="W1664" s="9"/>
      <c r="X1664" s="9"/>
    </row>
    <row r="1665" spans="1:24">
      <c r="A1665" s="13" t="s">
        <v>19</v>
      </c>
      <c r="B1665" s="1"/>
      <c r="C1665" s="1" t="s">
        <v>20</v>
      </c>
      <c r="D1665" s="3">
        <v>27000</v>
      </c>
      <c r="E1665"/>
      <c r="F1665"/>
      <c r="G1665"/>
      <c r="H1665"/>
      <c r="I1665"/>
      <c r="J1665"/>
      <c r="K1665"/>
      <c r="L1665"/>
      <c r="M1665" s="18" t="s">
        <v>471</v>
      </c>
      <c r="N1665" t="s">
        <v>1283</v>
      </c>
      <c r="O1665" t="s">
        <v>96</v>
      </c>
      <c r="P1665" s="1" t="s">
        <v>991</v>
      </c>
      <c r="Q1665" s="13" t="s">
        <v>25</v>
      </c>
      <c r="R1665">
        <v>1</v>
      </c>
      <c r="S1665">
        <v>27000</v>
      </c>
      <c r="T1665"/>
      <c r="U1665" s="9"/>
      <c r="V1665" s="9"/>
      <c r="W1665" s="9"/>
      <c r="X1665" s="9"/>
    </row>
    <row r="1666" spans="1:24">
      <c r="A1666" s="13" t="s">
        <v>19</v>
      </c>
      <c r="B1666" s="1"/>
      <c r="C1666" s="1" t="s">
        <v>20</v>
      </c>
      <c r="D1666" s="3">
        <v>27000</v>
      </c>
      <c r="E1666"/>
      <c r="F1666"/>
      <c r="G1666"/>
      <c r="H1666"/>
      <c r="I1666"/>
      <c r="J1666"/>
      <c r="K1666"/>
      <c r="L1666"/>
      <c r="M1666" s="18" t="s">
        <v>471</v>
      </c>
      <c r="N1666" t="s">
        <v>1283</v>
      </c>
      <c r="O1666" t="s">
        <v>96</v>
      </c>
      <c r="P1666" s="1" t="s">
        <v>992</v>
      </c>
      <c r="Q1666" s="13" t="s">
        <v>25</v>
      </c>
      <c r="R1666">
        <v>1</v>
      </c>
      <c r="S1666">
        <v>27000</v>
      </c>
      <c r="T1666"/>
      <c r="U1666" s="9"/>
      <c r="V1666" s="9"/>
      <c r="W1666" s="9"/>
      <c r="X1666" s="9"/>
    </row>
    <row r="1667" spans="1:24">
      <c r="A1667" s="13" t="s">
        <v>19</v>
      </c>
      <c r="B1667" s="1"/>
      <c r="C1667" s="1" t="s">
        <v>20</v>
      </c>
      <c r="D1667" s="3">
        <v>27000</v>
      </c>
      <c r="E1667"/>
      <c r="F1667"/>
      <c r="G1667"/>
      <c r="H1667"/>
      <c r="I1667"/>
      <c r="J1667"/>
      <c r="K1667"/>
      <c r="L1667"/>
      <c r="M1667" s="18" t="s">
        <v>471</v>
      </c>
      <c r="N1667" t="s">
        <v>1283</v>
      </c>
      <c r="O1667" t="s">
        <v>96</v>
      </c>
      <c r="P1667" s="1" t="s">
        <v>993</v>
      </c>
      <c r="Q1667" s="13" t="s">
        <v>25</v>
      </c>
      <c r="R1667">
        <v>1</v>
      </c>
      <c r="S1667">
        <v>27000</v>
      </c>
      <c r="T1667"/>
      <c r="U1667" s="9"/>
      <c r="V1667" s="9"/>
      <c r="W1667" s="9"/>
      <c r="X1667" s="9"/>
    </row>
    <row r="1668" spans="1:24">
      <c r="A1668" s="13" t="s">
        <v>19</v>
      </c>
      <c r="B1668" s="1"/>
      <c r="C1668" s="1" t="s">
        <v>20</v>
      </c>
      <c r="D1668" s="3">
        <v>27000</v>
      </c>
      <c r="E1668"/>
      <c r="F1668"/>
      <c r="G1668"/>
      <c r="H1668"/>
      <c r="I1668"/>
      <c r="J1668"/>
      <c r="K1668"/>
      <c r="L1668"/>
      <c r="M1668" s="18" t="s">
        <v>471</v>
      </c>
      <c r="N1668" t="s">
        <v>1283</v>
      </c>
      <c r="O1668" t="s">
        <v>96</v>
      </c>
      <c r="P1668" s="1" t="s">
        <v>994</v>
      </c>
      <c r="Q1668" s="13" t="s">
        <v>25</v>
      </c>
      <c r="R1668">
        <v>1</v>
      </c>
      <c r="S1668">
        <v>27000</v>
      </c>
      <c r="T1668"/>
      <c r="U1668" s="9"/>
      <c r="V1668" s="9"/>
      <c r="W1668" s="9"/>
      <c r="X1668" s="9"/>
    </row>
    <row r="1669" spans="1:24">
      <c r="A1669" s="13" t="s">
        <v>19</v>
      </c>
      <c r="B1669" s="1"/>
      <c r="C1669" s="1" t="s">
        <v>20</v>
      </c>
      <c r="D1669" s="3">
        <v>27000</v>
      </c>
      <c r="E1669"/>
      <c r="F1669"/>
      <c r="G1669"/>
      <c r="H1669"/>
      <c r="I1669"/>
      <c r="J1669"/>
      <c r="K1669"/>
      <c r="L1669"/>
      <c r="M1669" s="18" t="s">
        <v>471</v>
      </c>
      <c r="N1669" t="s">
        <v>1283</v>
      </c>
      <c r="O1669" t="s">
        <v>96</v>
      </c>
      <c r="P1669" s="1" t="s">
        <v>995</v>
      </c>
      <c r="Q1669" s="13" t="s">
        <v>25</v>
      </c>
      <c r="R1669">
        <v>1</v>
      </c>
      <c r="S1669">
        <v>27000</v>
      </c>
      <c r="T1669"/>
      <c r="U1669" s="9"/>
      <c r="V1669" s="9"/>
      <c r="W1669" s="9"/>
      <c r="X1669" s="9"/>
    </row>
    <row r="1670" spans="1:24">
      <c r="A1670" s="13" t="s">
        <v>19</v>
      </c>
      <c r="B1670" s="1"/>
      <c r="C1670" s="1" t="s">
        <v>20</v>
      </c>
      <c r="D1670" s="3">
        <v>27000</v>
      </c>
      <c r="E1670"/>
      <c r="F1670"/>
      <c r="G1670"/>
      <c r="H1670"/>
      <c r="I1670"/>
      <c r="J1670"/>
      <c r="K1670"/>
      <c r="L1670"/>
      <c r="M1670" s="18" t="s">
        <v>471</v>
      </c>
      <c r="N1670" t="s">
        <v>1283</v>
      </c>
      <c r="O1670" t="s">
        <v>96</v>
      </c>
      <c r="P1670" s="1" t="s">
        <v>996</v>
      </c>
      <c r="Q1670" s="13" t="s">
        <v>25</v>
      </c>
      <c r="R1670">
        <v>1</v>
      </c>
      <c r="S1670">
        <v>27000</v>
      </c>
      <c r="T1670"/>
      <c r="U1670" s="9"/>
      <c r="V1670" s="9"/>
      <c r="W1670" s="9"/>
      <c r="X1670" s="9"/>
    </row>
    <row r="1671" spans="1:24">
      <c r="A1671" s="13" t="s">
        <v>19</v>
      </c>
      <c r="B1671" s="1"/>
      <c r="C1671" s="1" t="s">
        <v>29</v>
      </c>
      <c r="D1671" s="3">
        <v>20000</v>
      </c>
      <c r="E1671"/>
      <c r="F1671"/>
      <c r="G1671"/>
      <c r="H1671"/>
      <c r="I1671"/>
      <c r="J1671"/>
      <c r="K1671"/>
      <c r="L1671"/>
      <c r="M1671" s="18" t="s">
        <v>471</v>
      </c>
      <c r="N1671" t="s">
        <v>1283</v>
      </c>
      <c r="O1671" t="s">
        <v>96</v>
      </c>
      <c r="P1671" s="1" t="s">
        <v>691</v>
      </c>
      <c r="Q1671" s="13" t="s">
        <v>25</v>
      </c>
      <c r="R1671">
        <v>2</v>
      </c>
      <c r="S1671">
        <v>10000</v>
      </c>
      <c r="T1671"/>
      <c r="U1671" s="9"/>
      <c r="V1671" s="9"/>
      <c r="W1671" s="9"/>
      <c r="X1671" s="9"/>
    </row>
    <row r="1672" spans="1:24">
      <c r="A1672" s="13" t="s">
        <v>19</v>
      </c>
      <c r="B1672" s="1"/>
      <c r="C1672" s="1" t="s">
        <v>29</v>
      </c>
      <c r="D1672" s="3">
        <v>20000</v>
      </c>
      <c r="E1672"/>
      <c r="F1672"/>
      <c r="G1672"/>
      <c r="H1672"/>
      <c r="I1672"/>
      <c r="J1672"/>
      <c r="K1672"/>
      <c r="L1672"/>
      <c r="M1672" s="18" t="s">
        <v>471</v>
      </c>
      <c r="N1672" t="s">
        <v>1283</v>
      </c>
      <c r="O1672" t="s">
        <v>96</v>
      </c>
      <c r="P1672" s="1" t="s">
        <v>671</v>
      </c>
      <c r="Q1672" s="13" t="s">
        <v>25</v>
      </c>
      <c r="R1672">
        <v>2</v>
      </c>
      <c r="S1672">
        <v>10000</v>
      </c>
      <c r="T1672"/>
      <c r="U1672" s="9"/>
      <c r="V1672" s="9"/>
      <c r="W1672" s="9"/>
      <c r="X1672" s="9"/>
    </row>
    <row r="1673" spans="1:24">
      <c r="A1673" s="13" t="s">
        <v>19</v>
      </c>
      <c r="B1673" s="1"/>
      <c r="C1673" s="1" t="s">
        <v>29</v>
      </c>
      <c r="D1673" s="3">
        <v>20000</v>
      </c>
      <c r="E1673"/>
      <c r="F1673"/>
      <c r="G1673"/>
      <c r="H1673"/>
      <c r="I1673"/>
      <c r="J1673"/>
      <c r="K1673"/>
      <c r="L1673"/>
      <c r="M1673" s="18" t="s">
        <v>471</v>
      </c>
      <c r="N1673" t="s">
        <v>1283</v>
      </c>
      <c r="O1673" t="s">
        <v>96</v>
      </c>
      <c r="P1673" s="1" t="s">
        <v>519</v>
      </c>
      <c r="Q1673" s="13" t="s">
        <v>25</v>
      </c>
      <c r="R1673">
        <v>2</v>
      </c>
      <c r="S1673">
        <v>10000</v>
      </c>
      <c r="T1673"/>
      <c r="U1673" s="9"/>
      <c r="V1673" s="9"/>
      <c r="W1673" s="9"/>
      <c r="X1673" s="9"/>
    </row>
    <row r="1674" spans="1:24">
      <c r="A1674" s="13" t="s">
        <v>19</v>
      </c>
      <c r="B1674" s="1"/>
      <c r="C1674" s="1" t="s">
        <v>29</v>
      </c>
      <c r="D1674" s="3">
        <v>20000</v>
      </c>
      <c r="E1674"/>
      <c r="F1674"/>
      <c r="G1674"/>
      <c r="H1674"/>
      <c r="I1674"/>
      <c r="J1674"/>
      <c r="K1674"/>
      <c r="L1674"/>
      <c r="M1674" s="18" t="s">
        <v>471</v>
      </c>
      <c r="N1674" t="s">
        <v>1283</v>
      </c>
      <c r="O1674" t="s">
        <v>96</v>
      </c>
      <c r="P1674" s="1" t="s">
        <v>997</v>
      </c>
      <c r="Q1674" s="13" t="s">
        <v>25</v>
      </c>
      <c r="R1674">
        <v>2</v>
      </c>
      <c r="S1674">
        <v>10000</v>
      </c>
      <c r="T1674"/>
      <c r="U1674" s="9"/>
      <c r="V1674" s="9"/>
      <c r="W1674" s="9"/>
      <c r="X1674" s="9"/>
    </row>
    <row r="1675" spans="1:24">
      <c r="A1675" s="13" t="s">
        <v>19</v>
      </c>
      <c r="B1675" s="1"/>
      <c r="C1675" s="1" t="s">
        <v>29</v>
      </c>
      <c r="D1675" s="3">
        <v>10000</v>
      </c>
      <c r="E1675"/>
      <c r="F1675"/>
      <c r="G1675"/>
      <c r="H1675"/>
      <c r="I1675"/>
      <c r="J1675"/>
      <c r="K1675"/>
      <c r="L1675"/>
      <c r="M1675" s="18" t="s">
        <v>471</v>
      </c>
      <c r="N1675" t="s">
        <v>1283</v>
      </c>
      <c r="O1675" t="s">
        <v>96</v>
      </c>
      <c r="P1675" s="1" t="s">
        <v>614</v>
      </c>
      <c r="Q1675" s="13" t="s">
        <v>25</v>
      </c>
      <c r="R1675">
        <v>1</v>
      </c>
      <c r="S1675">
        <v>10000</v>
      </c>
      <c r="T1675"/>
      <c r="U1675" s="9"/>
      <c r="V1675" s="9"/>
      <c r="W1675" s="9"/>
      <c r="X1675" s="9"/>
    </row>
    <row r="1676" spans="1:24">
      <c r="A1676" s="13" t="s">
        <v>19</v>
      </c>
      <c r="B1676" s="1"/>
      <c r="C1676" s="1" t="s">
        <v>29</v>
      </c>
      <c r="D1676" s="3">
        <v>10000</v>
      </c>
      <c r="E1676"/>
      <c r="F1676"/>
      <c r="G1676"/>
      <c r="H1676"/>
      <c r="I1676"/>
      <c r="J1676"/>
      <c r="K1676"/>
      <c r="L1676"/>
      <c r="M1676" s="18" t="s">
        <v>471</v>
      </c>
      <c r="N1676" t="s">
        <v>1283</v>
      </c>
      <c r="O1676" t="s">
        <v>96</v>
      </c>
      <c r="P1676" s="1" t="s">
        <v>553</v>
      </c>
      <c r="Q1676" s="13" t="s">
        <v>25</v>
      </c>
      <c r="R1676">
        <v>1</v>
      </c>
      <c r="S1676">
        <v>10000</v>
      </c>
      <c r="T1676"/>
      <c r="U1676" s="9"/>
      <c r="V1676" s="9"/>
      <c r="W1676" s="9"/>
      <c r="X1676" s="9"/>
    </row>
    <row r="1677" spans="1:24">
      <c r="A1677" s="13" t="s">
        <v>19</v>
      </c>
      <c r="B1677" s="1"/>
      <c r="C1677" s="1" t="s">
        <v>29</v>
      </c>
      <c r="D1677" s="3">
        <v>10000</v>
      </c>
      <c r="E1677"/>
      <c r="F1677"/>
      <c r="G1677"/>
      <c r="H1677"/>
      <c r="I1677"/>
      <c r="J1677"/>
      <c r="K1677"/>
      <c r="L1677"/>
      <c r="M1677" s="18" t="s">
        <v>471</v>
      </c>
      <c r="N1677" t="s">
        <v>1283</v>
      </c>
      <c r="O1677" t="s">
        <v>96</v>
      </c>
      <c r="P1677" s="1" t="s">
        <v>998</v>
      </c>
      <c r="Q1677" s="13" t="s">
        <v>25</v>
      </c>
      <c r="R1677">
        <v>1</v>
      </c>
      <c r="S1677">
        <v>10000</v>
      </c>
      <c r="T1677"/>
      <c r="U1677" s="9"/>
      <c r="V1677" s="9"/>
      <c r="W1677" s="9"/>
      <c r="X1677" s="9"/>
    </row>
    <row r="1678" spans="1:24">
      <c r="A1678" s="13" t="s">
        <v>19</v>
      </c>
      <c r="B1678" s="1"/>
      <c r="C1678" s="1" t="s">
        <v>29</v>
      </c>
      <c r="D1678" s="3">
        <v>10000</v>
      </c>
      <c r="E1678"/>
      <c r="F1678"/>
      <c r="G1678"/>
      <c r="H1678"/>
      <c r="I1678"/>
      <c r="J1678"/>
      <c r="K1678"/>
      <c r="L1678"/>
      <c r="M1678" s="18" t="s">
        <v>471</v>
      </c>
      <c r="N1678" t="s">
        <v>1283</v>
      </c>
      <c r="O1678" t="s">
        <v>96</v>
      </c>
      <c r="P1678" s="1" t="s">
        <v>999</v>
      </c>
      <c r="Q1678" s="13" t="s">
        <v>25</v>
      </c>
      <c r="R1678">
        <v>1</v>
      </c>
      <c r="S1678">
        <v>10000</v>
      </c>
      <c r="T1678"/>
      <c r="U1678" s="9"/>
      <c r="V1678" s="9"/>
      <c r="W1678" s="9"/>
      <c r="X1678" s="9"/>
    </row>
    <row r="1679" spans="1:24">
      <c r="A1679" s="13" t="s">
        <v>19</v>
      </c>
      <c r="B1679" s="1"/>
      <c r="C1679" s="1" t="s">
        <v>29</v>
      </c>
      <c r="D1679" s="3">
        <v>20000</v>
      </c>
      <c r="E1679"/>
      <c r="F1679"/>
      <c r="G1679"/>
      <c r="H1679"/>
      <c r="I1679"/>
      <c r="J1679"/>
      <c r="K1679"/>
      <c r="L1679"/>
      <c r="M1679" s="18" t="s">
        <v>471</v>
      </c>
      <c r="N1679" t="s">
        <v>1283</v>
      </c>
      <c r="O1679" t="s">
        <v>96</v>
      </c>
      <c r="P1679" s="1" t="s">
        <v>916</v>
      </c>
      <c r="Q1679" s="13" t="s">
        <v>25</v>
      </c>
      <c r="R1679">
        <v>2</v>
      </c>
      <c r="S1679">
        <v>10000</v>
      </c>
      <c r="T1679"/>
      <c r="U1679" s="9"/>
      <c r="V1679" s="9"/>
      <c r="W1679" s="9"/>
      <c r="X1679" s="9"/>
    </row>
    <row r="1680" spans="1:24">
      <c r="A1680" s="13" t="s">
        <v>19</v>
      </c>
      <c r="B1680" s="1"/>
      <c r="C1680" s="1" t="s">
        <v>29</v>
      </c>
      <c r="D1680" s="3">
        <v>10000</v>
      </c>
      <c r="E1680"/>
      <c r="F1680"/>
      <c r="G1680"/>
      <c r="H1680"/>
      <c r="I1680"/>
      <c r="J1680"/>
      <c r="K1680"/>
      <c r="L1680"/>
      <c r="M1680" s="18" t="s">
        <v>471</v>
      </c>
      <c r="N1680" t="s">
        <v>1283</v>
      </c>
      <c r="O1680" t="s">
        <v>96</v>
      </c>
      <c r="P1680" s="1" t="s">
        <v>1000</v>
      </c>
      <c r="Q1680" s="13" t="s">
        <v>25</v>
      </c>
      <c r="R1680">
        <v>1</v>
      </c>
      <c r="S1680">
        <v>10000</v>
      </c>
      <c r="T1680"/>
      <c r="U1680" s="9"/>
      <c r="V1680" s="9"/>
      <c r="W1680" s="9"/>
      <c r="X1680" s="9"/>
    </row>
    <row r="1681" spans="1:24">
      <c r="A1681" s="13" t="s">
        <v>19</v>
      </c>
      <c r="B1681" s="1"/>
      <c r="C1681" s="1" t="s">
        <v>29</v>
      </c>
      <c r="D1681" s="3">
        <v>10000</v>
      </c>
      <c r="E1681"/>
      <c r="F1681"/>
      <c r="G1681"/>
      <c r="H1681"/>
      <c r="I1681"/>
      <c r="J1681"/>
      <c r="K1681"/>
      <c r="L1681"/>
      <c r="M1681" s="18" t="s">
        <v>471</v>
      </c>
      <c r="N1681" t="s">
        <v>1283</v>
      </c>
      <c r="O1681" t="s">
        <v>96</v>
      </c>
      <c r="P1681" s="1" t="s">
        <v>1001</v>
      </c>
      <c r="Q1681" s="13" t="s">
        <v>25</v>
      </c>
      <c r="R1681">
        <v>1</v>
      </c>
      <c r="S1681">
        <v>10000</v>
      </c>
      <c r="T1681"/>
      <c r="U1681" s="9"/>
      <c r="V1681" s="9"/>
      <c r="W1681" s="9"/>
      <c r="X1681" s="9"/>
    </row>
    <row r="1682" spans="1:24">
      <c r="A1682" s="13" t="s">
        <v>19</v>
      </c>
      <c r="B1682" s="1"/>
      <c r="C1682" s="1" t="s">
        <v>29</v>
      </c>
      <c r="D1682" s="3">
        <v>10000</v>
      </c>
      <c r="E1682"/>
      <c r="F1682"/>
      <c r="G1682"/>
      <c r="H1682"/>
      <c r="I1682"/>
      <c r="J1682"/>
      <c r="K1682"/>
      <c r="L1682"/>
      <c r="M1682" s="18" t="s">
        <v>471</v>
      </c>
      <c r="N1682" t="s">
        <v>1283</v>
      </c>
      <c r="O1682" t="s">
        <v>96</v>
      </c>
      <c r="P1682" s="1" t="s">
        <v>1002</v>
      </c>
      <c r="Q1682" s="13" t="s">
        <v>25</v>
      </c>
      <c r="R1682">
        <v>1</v>
      </c>
      <c r="S1682">
        <v>10000</v>
      </c>
      <c r="T1682"/>
      <c r="U1682" s="9"/>
      <c r="V1682" s="9"/>
      <c r="W1682" s="9"/>
      <c r="X1682" s="9"/>
    </row>
    <row r="1683" spans="1:24">
      <c r="A1683" s="13" t="s">
        <v>19</v>
      </c>
      <c r="B1683" s="1"/>
      <c r="C1683" s="1" t="s">
        <v>29</v>
      </c>
      <c r="D1683" s="3">
        <v>10000</v>
      </c>
      <c r="E1683"/>
      <c r="F1683"/>
      <c r="G1683"/>
      <c r="H1683"/>
      <c r="I1683"/>
      <c r="J1683"/>
      <c r="K1683"/>
      <c r="L1683"/>
      <c r="M1683" s="18" t="s">
        <v>471</v>
      </c>
      <c r="N1683" t="s">
        <v>1283</v>
      </c>
      <c r="O1683" t="s">
        <v>96</v>
      </c>
      <c r="P1683" s="1" t="s">
        <v>1003</v>
      </c>
      <c r="Q1683" s="13" t="s">
        <v>25</v>
      </c>
      <c r="R1683">
        <v>1</v>
      </c>
      <c r="S1683">
        <v>10000</v>
      </c>
      <c r="T1683"/>
      <c r="U1683" s="9"/>
      <c r="V1683" s="9"/>
      <c r="W1683" s="9"/>
      <c r="X1683" s="9"/>
    </row>
    <row r="1684" spans="1:24">
      <c r="A1684" s="13" t="s">
        <v>19</v>
      </c>
      <c r="B1684" s="1"/>
      <c r="C1684" s="1" t="s">
        <v>29</v>
      </c>
      <c r="D1684" s="3">
        <v>10000</v>
      </c>
      <c r="E1684"/>
      <c r="F1684"/>
      <c r="G1684"/>
      <c r="H1684"/>
      <c r="I1684"/>
      <c r="J1684"/>
      <c r="K1684"/>
      <c r="L1684"/>
      <c r="M1684" s="18" t="s">
        <v>471</v>
      </c>
      <c r="N1684" t="s">
        <v>1283</v>
      </c>
      <c r="O1684" t="s">
        <v>96</v>
      </c>
      <c r="P1684" s="1" t="s">
        <v>1004</v>
      </c>
      <c r="Q1684" s="13" t="s">
        <v>25</v>
      </c>
      <c r="R1684">
        <v>1</v>
      </c>
      <c r="S1684">
        <v>10000</v>
      </c>
      <c r="T1684"/>
      <c r="U1684" s="9"/>
      <c r="V1684" s="9"/>
      <c r="W1684" s="9"/>
      <c r="X1684" s="9"/>
    </row>
    <row r="1685" spans="1:24">
      <c r="A1685" s="13" t="s">
        <v>19</v>
      </c>
      <c r="B1685" s="1"/>
      <c r="C1685" s="1" t="s">
        <v>29</v>
      </c>
      <c r="D1685" s="3">
        <v>10000</v>
      </c>
      <c r="E1685"/>
      <c r="F1685"/>
      <c r="G1685"/>
      <c r="H1685"/>
      <c r="I1685"/>
      <c r="J1685"/>
      <c r="K1685"/>
      <c r="L1685"/>
      <c r="M1685" s="18" t="s">
        <v>471</v>
      </c>
      <c r="N1685" t="s">
        <v>1283</v>
      </c>
      <c r="O1685" t="s">
        <v>96</v>
      </c>
      <c r="P1685" s="1" t="s">
        <v>1005</v>
      </c>
      <c r="Q1685" s="13" t="s">
        <v>25</v>
      </c>
      <c r="R1685">
        <v>1</v>
      </c>
      <c r="S1685">
        <v>10000</v>
      </c>
      <c r="T1685"/>
      <c r="U1685" s="9"/>
      <c r="V1685" s="9"/>
      <c r="W1685" s="9"/>
      <c r="X1685" s="9"/>
    </row>
    <row r="1686" spans="1:24">
      <c r="A1686" s="13"/>
      <c r="B1686" s="1"/>
      <c r="C1686" s="1"/>
      <c r="D1686" s="3" t="str">
        <f>SUBTOTAL(9,D1656:D1685)</f>
        <v>0</v>
      </c>
      <c r="E1686"/>
      <c r="F1686"/>
      <c r="G1686"/>
      <c r="H1686"/>
      <c r="I1686"/>
      <c r="J1686"/>
      <c r="K1686"/>
      <c r="L1686"/>
      <c r="M1686" s="18" t="s">
        <v>472</v>
      </c>
      <c r="N1686" t="s">
        <v>1581</v>
      </c>
      <c r="O1686" t="s">
        <v>96</v>
      </c>
      <c r="P1686" s="1"/>
      <c r="Q1686" s="13"/>
      <c r="R1686"/>
      <c r="S1686"/>
      <c r="T1686"/>
      <c r="U1686" s="9"/>
      <c r="V1686" s="9"/>
      <c r="W1686" s="9"/>
      <c r="X1686" s="9"/>
    </row>
    <row r="1687" spans="1:24">
      <c r="A1687" s="13" t="s">
        <v>19</v>
      </c>
      <c r="B1687" s="1"/>
      <c r="C1687" s="1" t="s">
        <v>20</v>
      </c>
      <c r="D1687" s="3">
        <v>32000</v>
      </c>
      <c r="E1687"/>
      <c r="F1687"/>
      <c r="G1687"/>
      <c r="H1687"/>
      <c r="I1687"/>
      <c r="J1687"/>
      <c r="K1687"/>
      <c r="L1687"/>
      <c r="M1687" s="18" t="s">
        <v>473</v>
      </c>
      <c r="N1687" t="s">
        <v>1390</v>
      </c>
      <c r="O1687" t="s">
        <v>23</v>
      </c>
      <c r="P1687" s="1" t="s">
        <v>764</v>
      </c>
      <c r="Q1687" s="13" t="s">
        <v>25</v>
      </c>
      <c r="R1687">
        <v>1</v>
      </c>
      <c r="S1687">
        <v>32000</v>
      </c>
      <c r="T1687"/>
      <c r="U1687" s="9"/>
      <c r="V1687" s="9"/>
      <c r="W1687" s="9"/>
      <c r="X1687" s="9"/>
    </row>
    <row r="1688" spans="1:24">
      <c r="A1688" s="13" t="s">
        <v>19</v>
      </c>
      <c r="B1688" s="1"/>
      <c r="C1688" s="1" t="s">
        <v>20</v>
      </c>
      <c r="D1688" s="3">
        <v>64000</v>
      </c>
      <c r="E1688"/>
      <c r="F1688"/>
      <c r="G1688"/>
      <c r="H1688"/>
      <c r="I1688"/>
      <c r="J1688"/>
      <c r="K1688"/>
      <c r="L1688"/>
      <c r="M1688" s="18" t="s">
        <v>473</v>
      </c>
      <c r="N1688" t="s">
        <v>1390</v>
      </c>
      <c r="O1688" t="s">
        <v>23</v>
      </c>
      <c r="P1688" s="1" t="s">
        <v>1006</v>
      </c>
      <c r="Q1688" s="13" t="s">
        <v>25</v>
      </c>
      <c r="R1688">
        <v>2</v>
      </c>
      <c r="S1688">
        <v>32000</v>
      </c>
      <c r="T1688"/>
      <c r="U1688" s="9"/>
      <c r="V1688" s="9"/>
      <c r="W1688" s="9"/>
      <c r="X1688" s="9"/>
    </row>
    <row r="1689" spans="1:24">
      <c r="A1689" s="13" t="s">
        <v>19</v>
      </c>
      <c r="B1689" s="1"/>
      <c r="C1689" s="1" t="s">
        <v>29</v>
      </c>
      <c r="D1689" s="3">
        <v>5000</v>
      </c>
      <c r="E1689"/>
      <c r="F1689"/>
      <c r="G1689"/>
      <c r="H1689"/>
      <c r="I1689"/>
      <c r="J1689"/>
      <c r="K1689"/>
      <c r="L1689"/>
      <c r="M1689" s="18" t="s">
        <v>473</v>
      </c>
      <c r="N1689" t="s">
        <v>1390</v>
      </c>
      <c r="O1689" t="s">
        <v>23</v>
      </c>
      <c r="P1689" s="1" t="s">
        <v>771</v>
      </c>
      <c r="Q1689" s="13" t="s">
        <v>25</v>
      </c>
      <c r="R1689">
        <v>1</v>
      </c>
      <c r="S1689">
        <v>5000</v>
      </c>
      <c r="T1689"/>
      <c r="U1689" s="9"/>
      <c r="V1689" s="9"/>
      <c r="W1689" s="9"/>
      <c r="X1689" s="9"/>
    </row>
    <row r="1690" spans="1:24">
      <c r="A1690" s="13" t="s">
        <v>19</v>
      </c>
      <c r="B1690" s="1"/>
      <c r="C1690" s="1" t="s">
        <v>29</v>
      </c>
      <c r="D1690" s="3">
        <v>10000</v>
      </c>
      <c r="E1690"/>
      <c r="F1690"/>
      <c r="G1690"/>
      <c r="H1690"/>
      <c r="I1690"/>
      <c r="J1690"/>
      <c r="K1690"/>
      <c r="L1690"/>
      <c r="M1690" s="18" t="s">
        <v>473</v>
      </c>
      <c r="N1690" t="s">
        <v>1390</v>
      </c>
      <c r="O1690" t="s">
        <v>23</v>
      </c>
      <c r="P1690" s="1" t="s">
        <v>1007</v>
      </c>
      <c r="Q1690" s="13" t="s">
        <v>25</v>
      </c>
      <c r="R1690">
        <v>2</v>
      </c>
      <c r="S1690">
        <v>5000</v>
      </c>
      <c r="T1690"/>
      <c r="U1690" s="9"/>
      <c r="V1690" s="9"/>
      <c r="W1690" s="9"/>
      <c r="X1690" s="9"/>
    </row>
    <row r="1691" spans="1:24">
      <c r="A1691" s="13"/>
      <c r="B1691" s="1"/>
      <c r="C1691" s="1"/>
      <c r="D1691" s="3" t="str">
        <f>SUBTOTAL(9,D1687:D1690)</f>
        <v>0</v>
      </c>
      <c r="E1691"/>
      <c r="F1691"/>
      <c r="G1691"/>
      <c r="H1691"/>
      <c r="I1691"/>
      <c r="J1691"/>
      <c r="K1691"/>
      <c r="L1691"/>
      <c r="M1691" s="18" t="s">
        <v>474</v>
      </c>
      <c r="N1691" t="s">
        <v>1582</v>
      </c>
      <c r="O1691" t="s">
        <v>23</v>
      </c>
      <c r="P1691" s="1"/>
      <c r="Q1691" s="13"/>
      <c r="R1691"/>
      <c r="S1691"/>
      <c r="T1691"/>
      <c r="U1691" s="9"/>
      <c r="V1691" s="9"/>
      <c r="W1691" s="9"/>
      <c r="X1691" s="9"/>
    </row>
    <row r="1692" spans="1:24">
      <c r="A1692" s="13" t="s">
        <v>19</v>
      </c>
      <c r="B1692" s="1"/>
      <c r="C1692" s="1" t="s">
        <v>20</v>
      </c>
      <c r="D1692" s="3">
        <v>64000</v>
      </c>
      <c r="E1692"/>
      <c r="F1692"/>
      <c r="G1692"/>
      <c r="H1692"/>
      <c r="I1692"/>
      <c r="J1692"/>
      <c r="K1692"/>
      <c r="L1692"/>
      <c r="M1692" s="18" t="s">
        <v>475</v>
      </c>
      <c r="N1692" t="s">
        <v>1308</v>
      </c>
      <c r="O1692"/>
      <c r="P1692" s="1" t="s">
        <v>836</v>
      </c>
      <c r="Q1692" s="13" t="s">
        <v>25</v>
      </c>
      <c r="R1692">
        <v>2</v>
      </c>
      <c r="S1692">
        <v>32000</v>
      </c>
      <c r="T1692"/>
      <c r="U1692" s="9"/>
      <c r="V1692" s="9"/>
      <c r="W1692" s="9"/>
      <c r="X1692" s="9"/>
    </row>
    <row r="1693" spans="1:24">
      <c r="A1693" s="13" t="s">
        <v>19</v>
      </c>
      <c r="B1693" s="1"/>
      <c r="C1693" s="1" t="s">
        <v>20</v>
      </c>
      <c r="D1693" s="3">
        <v>96000</v>
      </c>
      <c r="E1693"/>
      <c r="F1693"/>
      <c r="G1693"/>
      <c r="H1693"/>
      <c r="I1693"/>
      <c r="J1693"/>
      <c r="K1693"/>
      <c r="L1693"/>
      <c r="M1693" s="18" t="s">
        <v>475</v>
      </c>
      <c r="N1693" t="s">
        <v>1308</v>
      </c>
      <c r="O1693"/>
      <c r="P1693" s="1" t="s">
        <v>856</v>
      </c>
      <c r="Q1693" s="13" t="s">
        <v>25</v>
      </c>
      <c r="R1693">
        <v>3</v>
      </c>
      <c r="S1693">
        <v>32000</v>
      </c>
      <c r="T1693"/>
      <c r="U1693" s="9"/>
      <c r="V1693" s="9"/>
      <c r="W1693" s="9"/>
      <c r="X1693" s="9"/>
    </row>
    <row r="1694" spans="1:24">
      <c r="A1694" s="13" t="s">
        <v>19</v>
      </c>
      <c r="B1694" s="1"/>
      <c r="C1694" s="1" t="s">
        <v>29</v>
      </c>
      <c r="D1694" s="3">
        <v>10000</v>
      </c>
      <c r="E1694"/>
      <c r="F1694"/>
      <c r="G1694"/>
      <c r="H1694"/>
      <c r="I1694"/>
      <c r="J1694"/>
      <c r="K1694"/>
      <c r="L1694"/>
      <c r="M1694" s="18" t="s">
        <v>475</v>
      </c>
      <c r="N1694" t="s">
        <v>1308</v>
      </c>
      <c r="O1694"/>
      <c r="P1694" s="1" t="s">
        <v>839</v>
      </c>
      <c r="Q1694" s="13" t="s">
        <v>25</v>
      </c>
      <c r="R1694">
        <v>2</v>
      </c>
      <c r="S1694">
        <v>5000</v>
      </c>
      <c r="T1694"/>
      <c r="U1694" s="9"/>
      <c r="V1694" s="9"/>
      <c r="W1694" s="9"/>
      <c r="X1694" s="9"/>
    </row>
    <row r="1695" spans="1:24">
      <c r="A1695" s="13" t="s">
        <v>19</v>
      </c>
      <c r="B1695" s="1"/>
      <c r="C1695" s="1" t="s">
        <v>29</v>
      </c>
      <c r="D1695" s="3">
        <v>15000</v>
      </c>
      <c r="E1695"/>
      <c r="F1695"/>
      <c r="G1695"/>
      <c r="H1695"/>
      <c r="I1695"/>
      <c r="J1695"/>
      <c r="K1695"/>
      <c r="L1695"/>
      <c r="M1695" s="18" t="s">
        <v>475</v>
      </c>
      <c r="N1695" t="s">
        <v>1308</v>
      </c>
      <c r="O1695"/>
      <c r="P1695" s="1" t="s">
        <v>857</v>
      </c>
      <c r="Q1695" s="13" t="s">
        <v>25</v>
      </c>
      <c r="R1695">
        <v>3</v>
      </c>
      <c r="S1695">
        <v>5000</v>
      </c>
      <c r="T1695"/>
      <c r="U1695" s="9"/>
      <c r="V1695" s="9"/>
      <c r="W1695" s="9"/>
      <c r="X1695" s="9"/>
    </row>
    <row r="1696" spans="1:24">
      <c r="A1696" s="13"/>
      <c r="B1696" s="1"/>
      <c r="C1696" s="1"/>
      <c r="D1696" s="3" t="str">
        <f>SUBTOTAL(9,D1692:D1695)</f>
        <v>0</v>
      </c>
      <c r="E1696"/>
      <c r="F1696"/>
      <c r="G1696"/>
      <c r="H1696"/>
      <c r="I1696"/>
      <c r="J1696"/>
      <c r="K1696"/>
      <c r="L1696"/>
      <c r="M1696" s="18" t="s">
        <v>476</v>
      </c>
      <c r="N1696" t="s">
        <v>1583</v>
      </c>
      <c r="O1696"/>
      <c r="P1696" s="1"/>
      <c r="Q1696" s="13"/>
      <c r="R1696"/>
      <c r="S1696"/>
      <c r="T1696"/>
      <c r="U1696" s="9"/>
      <c r="V1696" s="9"/>
      <c r="W1696" s="9"/>
      <c r="X1696" s="9"/>
    </row>
    <row r="1697" spans="1:24">
      <c r="A1697" s="13" t="s">
        <v>19</v>
      </c>
      <c r="B1697" s="1"/>
      <c r="C1697" s="1" t="s">
        <v>20</v>
      </c>
      <c r="D1697" s="3">
        <v>32000</v>
      </c>
      <c r="E1697"/>
      <c r="F1697"/>
      <c r="G1697"/>
      <c r="H1697"/>
      <c r="I1697"/>
      <c r="J1697"/>
      <c r="K1697"/>
      <c r="L1697"/>
      <c r="M1697" s="18" t="s">
        <v>477</v>
      </c>
      <c r="N1697" t="s">
        <v>1253</v>
      </c>
      <c r="O1697" t="s">
        <v>98</v>
      </c>
      <c r="P1697" s="1" t="s">
        <v>24</v>
      </c>
      <c r="Q1697" s="13" t="s">
        <v>25</v>
      </c>
      <c r="R1697">
        <v>1</v>
      </c>
      <c r="S1697">
        <v>32000</v>
      </c>
      <c r="T1697"/>
      <c r="U1697" s="9"/>
      <c r="V1697" s="9"/>
      <c r="W1697" s="9"/>
      <c r="X1697" s="9"/>
    </row>
    <row r="1698" spans="1:24">
      <c r="A1698" s="13" t="s">
        <v>19</v>
      </c>
      <c r="B1698" s="1"/>
      <c r="C1698" s="1" t="s">
        <v>26</v>
      </c>
      <c r="D1698" s="3">
        <v>37000</v>
      </c>
      <c r="E1698"/>
      <c r="F1698"/>
      <c r="G1698"/>
      <c r="H1698"/>
      <c r="I1698"/>
      <c r="J1698"/>
      <c r="K1698"/>
      <c r="L1698"/>
      <c r="M1698" s="18" t="s">
        <v>477</v>
      </c>
      <c r="N1698" t="s">
        <v>1253</v>
      </c>
      <c r="O1698" t="s">
        <v>98</v>
      </c>
      <c r="P1698" s="1" t="s">
        <v>1008</v>
      </c>
      <c r="Q1698" s="13" t="s">
        <v>25</v>
      </c>
      <c r="R1698">
        <v>1</v>
      </c>
      <c r="S1698">
        <v>37000</v>
      </c>
      <c r="T1698"/>
      <c r="U1698" s="9"/>
      <c r="V1698" s="9"/>
      <c r="W1698" s="9"/>
      <c r="X1698" s="9"/>
    </row>
    <row r="1699" spans="1:24">
      <c r="A1699" s="13" t="s">
        <v>19</v>
      </c>
      <c r="B1699" s="1"/>
      <c r="C1699" s="1" t="s">
        <v>26</v>
      </c>
      <c r="D1699" s="3">
        <v>37000</v>
      </c>
      <c r="E1699"/>
      <c r="F1699"/>
      <c r="G1699"/>
      <c r="H1699"/>
      <c r="I1699"/>
      <c r="J1699"/>
      <c r="K1699"/>
      <c r="L1699"/>
      <c r="M1699" s="18" t="s">
        <v>477</v>
      </c>
      <c r="N1699" t="s">
        <v>1253</v>
      </c>
      <c r="O1699" t="s">
        <v>98</v>
      </c>
      <c r="P1699" s="1" t="s">
        <v>558</v>
      </c>
      <c r="Q1699" s="13" t="s">
        <v>25</v>
      </c>
      <c r="R1699">
        <v>1</v>
      </c>
      <c r="S1699">
        <v>37000</v>
      </c>
      <c r="T1699"/>
      <c r="U1699" s="9"/>
      <c r="V1699" s="9"/>
      <c r="W1699" s="9"/>
      <c r="X1699" s="9"/>
    </row>
    <row r="1700" spans="1:24">
      <c r="A1700" s="13" t="s">
        <v>19</v>
      </c>
      <c r="B1700" s="1"/>
      <c r="C1700" s="1" t="s">
        <v>29</v>
      </c>
      <c r="D1700" s="3">
        <v>5000</v>
      </c>
      <c r="E1700"/>
      <c r="F1700"/>
      <c r="G1700"/>
      <c r="H1700"/>
      <c r="I1700"/>
      <c r="J1700"/>
      <c r="K1700"/>
      <c r="L1700"/>
      <c r="M1700" s="18" t="s">
        <v>477</v>
      </c>
      <c r="N1700" t="s">
        <v>1253</v>
      </c>
      <c r="O1700" t="s">
        <v>98</v>
      </c>
      <c r="P1700" s="1" t="s">
        <v>30</v>
      </c>
      <c r="Q1700" s="13" t="s">
        <v>25</v>
      </c>
      <c r="R1700">
        <v>1</v>
      </c>
      <c r="S1700">
        <v>5000</v>
      </c>
      <c r="T1700"/>
      <c r="U1700" s="9"/>
      <c r="V1700" s="9"/>
      <c r="W1700" s="9"/>
      <c r="X1700" s="9"/>
    </row>
    <row r="1701" spans="1:24">
      <c r="A1701" s="13" t="s">
        <v>19</v>
      </c>
      <c r="B1701" s="1"/>
      <c r="C1701" s="1" t="s">
        <v>32</v>
      </c>
      <c r="D1701" s="3">
        <v>5000</v>
      </c>
      <c r="E1701"/>
      <c r="F1701"/>
      <c r="G1701"/>
      <c r="H1701"/>
      <c r="I1701"/>
      <c r="J1701"/>
      <c r="K1701"/>
      <c r="L1701"/>
      <c r="M1701" s="18" t="s">
        <v>477</v>
      </c>
      <c r="N1701" t="s">
        <v>1253</v>
      </c>
      <c r="O1701" t="s">
        <v>98</v>
      </c>
      <c r="P1701" s="1" t="s">
        <v>1009</v>
      </c>
      <c r="Q1701" s="13" t="s">
        <v>25</v>
      </c>
      <c r="R1701">
        <v>1</v>
      </c>
      <c r="S1701">
        <v>5000</v>
      </c>
      <c r="T1701"/>
      <c r="U1701" s="9"/>
      <c r="V1701" s="9"/>
      <c r="W1701" s="9"/>
      <c r="X1701" s="9"/>
    </row>
    <row r="1702" spans="1:24">
      <c r="A1702" s="13" t="s">
        <v>19</v>
      </c>
      <c r="B1702" s="1"/>
      <c r="C1702" s="1" t="s">
        <v>32</v>
      </c>
      <c r="D1702" s="3">
        <v>5000</v>
      </c>
      <c r="E1702"/>
      <c r="F1702"/>
      <c r="G1702"/>
      <c r="H1702"/>
      <c r="I1702"/>
      <c r="J1702"/>
      <c r="K1702"/>
      <c r="L1702"/>
      <c r="M1702" s="18" t="s">
        <v>477</v>
      </c>
      <c r="N1702" t="s">
        <v>1253</v>
      </c>
      <c r="O1702" t="s">
        <v>98</v>
      </c>
      <c r="P1702" s="1" t="s">
        <v>559</v>
      </c>
      <c r="Q1702" s="13" t="s">
        <v>25</v>
      </c>
      <c r="R1702">
        <v>1</v>
      </c>
      <c r="S1702">
        <v>5000</v>
      </c>
      <c r="T1702"/>
      <c r="U1702" s="9"/>
      <c r="V1702" s="9"/>
      <c r="W1702" s="9"/>
      <c r="X1702" s="9"/>
    </row>
    <row r="1703" spans="1:24">
      <c r="A1703" s="13"/>
      <c r="B1703" s="1"/>
      <c r="C1703" s="1"/>
      <c r="D1703" s="3" t="str">
        <f>SUBTOTAL(9,D1697:D1702)</f>
        <v>0</v>
      </c>
      <c r="E1703"/>
      <c r="F1703"/>
      <c r="G1703"/>
      <c r="H1703"/>
      <c r="I1703"/>
      <c r="J1703"/>
      <c r="K1703"/>
      <c r="L1703"/>
      <c r="M1703" s="18" t="s">
        <v>478</v>
      </c>
      <c r="N1703" t="s">
        <v>1584</v>
      </c>
      <c r="O1703" t="s">
        <v>98</v>
      </c>
      <c r="P1703" s="1"/>
      <c r="Q1703" s="13"/>
      <c r="R1703"/>
      <c r="S1703"/>
      <c r="T1703"/>
      <c r="U1703" s="9"/>
      <c r="V1703" s="9"/>
      <c r="W1703" s="9"/>
      <c r="X1703" s="9"/>
    </row>
    <row r="1704" spans="1:24">
      <c r="A1704" s="13" t="s">
        <v>19</v>
      </c>
      <c r="B1704" s="1"/>
      <c r="C1704" s="1" t="s">
        <v>20</v>
      </c>
      <c r="D1704" s="3">
        <v>90000</v>
      </c>
      <c r="E1704"/>
      <c r="F1704"/>
      <c r="G1704"/>
      <c r="H1704"/>
      <c r="I1704"/>
      <c r="J1704"/>
      <c r="K1704"/>
      <c r="L1704"/>
      <c r="M1704" s="18" t="s">
        <v>479</v>
      </c>
      <c r="N1704" t="s">
        <v>1290</v>
      </c>
      <c r="O1704" t="s">
        <v>94</v>
      </c>
      <c r="P1704" s="1" t="s">
        <v>24</v>
      </c>
      <c r="Q1704" s="13" t="s">
        <v>25</v>
      </c>
      <c r="R1704">
        <v>3</v>
      </c>
      <c r="S1704">
        <v>30000</v>
      </c>
      <c r="T1704"/>
      <c r="U1704" s="9"/>
      <c r="V1704" s="9"/>
      <c r="W1704" s="9"/>
      <c r="X1704" s="9"/>
    </row>
    <row r="1705" spans="1:24">
      <c r="A1705" s="13" t="s">
        <v>19</v>
      </c>
      <c r="B1705" s="1"/>
      <c r="C1705" s="1" t="s">
        <v>20</v>
      </c>
      <c r="D1705" s="3">
        <v>90000</v>
      </c>
      <c r="E1705"/>
      <c r="F1705"/>
      <c r="G1705"/>
      <c r="H1705"/>
      <c r="I1705"/>
      <c r="J1705"/>
      <c r="K1705"/>
      <c r="L1705"/>
      <c r="M1705" s="18" t="s">
        <v>479</v>
      </c>
      <c r="N1705" t="s">
        <v>1290</v>
      </c>
      <c r="O1705" t="s">
        <v>94</v>
      </c>
      <c r="P1705" s="1" t="s">
        <v>24</v>
      </c>
      <c r="Q1705" s="13" t="s">
        <v>25</v>
      </c>
      <c r="R1705">
        <v>3</v>
      </c>
      <c r="S1705">
        <v>30000</v>
      </c>
      <c r="T1705"/>
      <c r="U1705" s="9"/>
      <c r="V1705" s="9"/>
      <c r="W1705" s="9"/>
      <c r="X1705" s="9"/>
    </row>
    <row r="1706" spans="1:24">
      <c r="A1706" s="13" t="s">
        <v>19</v>
      </c>
      <c r="B1706" s="1"/>
      <c r="C1706" s="1" t="s">
        <v>20</v>
      </c>
      <c r="D1706" s="3">
        <v>60000</v>
      </c>
      <c r="E1706"/>
      <c r="F1706"/>
      <c r="G1706"/>
      <c r="H1706"/>
      <c r="I1706"/>
      <c r="J1706"/>
      <c r="K1706"/>
      <c r="L1706"/>
      <c r="M1706" s="18" t="s">
        <v>479</v>
      </c>
      <c r="N1706" t="s">
        <v>1290</v>
      </c>
      <c r="O1706" t="s">
        <v>94</v>
      </c>
      <c r="P1706" s="1" t="s">
        <v>1010</v>
      </c>
      <c r="Q1706" s="13" t="s">
        <v>25</v>
      </c>
      <c r="R1706">
        <v>2</v>
      </c>
      <c r="S1706">
        <v>30000</v>
      </c>
      <c r="T1706"/>
      <c r="U1706" s="9"/>
      <c r="V1706" s="9"/>
      <c r="W1706" s="9"/>
      <c r="X1706" s="9"/>
    </row>
    <row r="1707" spans="1:24">
      <c r="A1707" s="13" t="s">
        <v>19</v>
      </c>
      <c r="B1707" s="1"/>
      <c r="C1707" s="1" t="s">
        <v>29</v>
      </c>
      <c r="D1707" s="3">
        <v>15000</v>
      </c>
      <c r="E1707"/>
      <c r="F1707"/>
      <c r="G1707"/>
      <c r="H1707"/>
      <c r="I1707"/>
      <c r="J1707"/>
      <c r="K1707"/>
      <c r="L1707"/>
      <c r="M1707" s="18" t="s">
        <v>479</v>
      </c>
      <c r="N1707" t="s">
        <v>1290</v>
      </c>
      <c r="O1707" t="s">
        <v>94</v>
      </c>
      <c r="P1707" s="1" t="s">
        <v>30</v>
      </c>
      <c r="Q1707" s="13" t="s">
        <v>25</v>
      </c>
      <c r="R1707">
        <v>3</v>
      </c>
      <c r="S1707">
        <v>5000</v>
      </c>
      <c r="T1707"/>
      <c r="U1707" s="9"/>
      <c r="V1707" s="9"/>
      <c r="W1707" s="9"/>
      <c r="X1707" s="9"/>
    </row>
    <row r="1708" spans="1:24">
      <c r="A1708" s="13" t="s">
        <v>19</v>
      </c>
      <c r="B1708" s="1"/>
      <c r="C1708" s="1" t="s">
        <v>29</v>
      </c>
      <c r="D1708" s="3">
        <v>15000</v>
      </c>
      <c r="E1708"/>
      <c r="F1708"/>
      <c r="G1708"/>
      <c r="H1708"/>
      <c r="I1708"/>
      <c r="J1708"/>
      <c r="K1708"/>
      <c r="L1708"/>
      <c r="M1708" s="18" t="s">
        <v>479</v>
      </c>
      <c r="N1708" t="s">
        <v>1290</v>
      </c>
      <c r="O1708" t="s">
        <v>94</v>
      </c>
      <c r="P1708" s="1" t="s">
        <v>30</v>
      </c>
      <c r="Q1708" s="13" t="s">
        <v>25</v>
      </c>
      <c r="R1708">
        <v>3</v>
      </c>
      <c r="S1708">
        <v>5000</v>
      </c>
      <c r="T1708"/>
      <c r="U1708" s="9"/>
      <c r="V1708" s="9"/>
      <c r="W1708" s="9"/>
      <c r="X1708" s="9"/>
    </row>
    <row r="1709" spans="1:24">
      <c r="A1709" s="13" t="s">
        <v>19</v>
      </c>
      <c r="B1709" s="1"/>
      <c r="C1709" s="1" t="s">
        <v>29</v>
      </c>
      <c r="D1709" s="3">
        <v>10000</v>
      </c>
      <c r="E1709"/>
      <c r="F1709"/>
      <c r="G1709"/>
      <c r="H1709"/>
      <c r="I1709"/>
      <c r="J1709"/>
      <c r="K1709"/>
      <c r="L1709"/>
      <c r="M1709" s="18" t="s">
        <v>479</v>
      </c>
      <c r="N1709" t="s">
        <v>1290</v>
      </c>
      <c r="O1709" t="s">
        <v>94</v>
      </c>
      <c r="P1709" s="1" t="s">
        <v>1011</v>
      </c>
      <c r="Q1709" s="13" t="s">
        <v>25</v>
      </c>
      <c r="R1709">
        <v>2</v>
      </c>
      <c r="S1709">
        <v>5000</v>
      </c>
      <c r="T1709"/>
      <c r="U1709" s="9"/>
      <c r="V1709" s="9"/>
      <c r="W1709" s="9"/>
      <c r="X1709" s="9"/>
    </row>
    <row r="1710" spans="1:24">
      <c r="A1710" s="13"/>
      <c r="B1710" s="1"/>
      <c r="C1710" s="1"/>
      <c r="D1710" s="3" t="str">
        <f>SUBTOTAL(9,D1704:D1709)</f>
        <v>0</v>
      </c>
      <c r="E1710"/>
      <c r="F1710"/>
      <c r="G1710"/>
      <c r="H1710"/>
      <c r="I1710"/>
      <c r="J1710"/>
      <c r="K1710"/>
      <c r="L1710"/>
      <c r="M1710" s="18" t="s">
        <v>480</v>
      </c>
      <c r="N1710" t="s">
        <v>1585</v>
      </c>
      <c r="O1710" t="s">
        <v>94</v>
      </c>
      <c r="P1710" s="1"/>
      <c r="Q1710" s="13"/>
      <c r="R1710"/>
      <c r="S1710"/>
      <c r="T1710"/>
      <c r="U1710" s="9"/>
      <c r="V1710" s="9"/>
      <c r="W1710" s="9"/>
      <c r="X1710" s="9"/>
    </row>
    <row r="1711" spans="1:24">
      <c r="A1711" s="13" t="s">
        <v>19</v>
      </c>
      <c r="B1711" s="1"/>
      <c r="C1711" s="1" t="s">
        <v>20</v>
      </c>
      <c r="D1711" s="3">
        <v>60000</v>
      </c>
      <c r="E1711"/>
      <c r="F1711"/>
      <c r="G1711"/>
      <c r="H1711"/>
      <c r="I1711"/>
      <c r="J1711"/>
      <c r="K1711"/>
      <c r="L1711"/>
      <c r="M1711" s="18" t="s">
        <v>481</v>
      </c>
      <c r="N1711" t="s">
        <v>1345</v>
      </c>
      <c r="O1711" t="s">
        <v>1395</v>
      </c>
      <c r="P1711" s="1" t="s">
        <v>24</v>
      </c>
      <c r="Q1711" s="13" t="s">
        <v>25</v>
      </c>
      <c r="R1711">
        <v>2</v>
      </c>
      <c r="S1711">
        <v>30000</v>
      </c>
      <c r="T1711"/>
      <c r="U1711" s="9"/>
      <c r="V1711" s="9"/>
      <c r="W1711" s="9"/>
      <c r="X1711" s="9"/>
    </row>
    <row r="1712" spans="1:24">
      <c r="A1712" s="13" t="s">
        <v>19</v>
      </c>
      <c r="B1712" s="1"/>
      <c r="C1712" s="1" t="s">
        <v>20</v>
      </c>
      <c r="D1712" s="3">
        <v>60000</v>
      </c>
      <c r="E1712"/>
      <c r="F1712"/>
      <c r="G1712"/>
      <c r="H1712"/>
      <c r="I1712"/>
      <c r="J1712"/>
      <c r="K1712"/>
      <c r="L1712"/>
      <c r="M1712" s="18" t="s">
        <v>481</v>
      </c>
      <c r="N1712" t="s">
        <v>1345</v>
      </c>
      <c r="O1712" t="s">
        <v>1395</v>
      </c>
      <c r="P1712" s="1" t="s">
        <v>24</v>
      </c>
      <c r="Q1712" s="13" t="s">
        <v>25</v>
      </c>
      <c r="R1712">
        <v>2</v>
      </c>
      <c r="S1712">
        <v>30000</v>
      </c>
      <c r="T1712"/>
      <c r="U1712" s="9"/>
      <c r="V1712" s="9"/>
      <c r="W1712" s="9"/>
      <c r="X1712" s="9"/>
    </row>
    <row r="1713" spans="1:24">
      <c r="A1713" s="13" t="s">
        <v>19</v>
      </c>
      <c r="B1713" s="1"/>
      <c r="C1713" s="1" t="s">
        <v>26</v>
      </c>
      <c r="D1713" s="3">
        <v>74000</v>
      </c>
      <c r="E1713"/>
      <c r="F1713"/>
      <c r="G1713"/>
      <c r="H1713"/>
      <c r="I1713"/>
      <c r="J1713"/>
      <c r="K1713"/>
      <c r="L1713"/>
      <c r="M1713" s="18" t="s">
        <v>481</v>
      </c>
      <c r="N1713" t="s">
        <v>1345</v>
      </c>
      <c r="O1713" t="s">
        <v>1395</v>
      </c>
      <c r="P1713" s="1" t="s">
        <v>1012</v>
      </c>
      <c r="Q1713" s="13" t="s">
        <v>25</v>
      </c>
      <c r="R1713">
        <v>2</v>
      </c>
      <c r="S1713">
        <v>37000</v>
      </c>
      <c r="T1713"/>
      <c r="U1713" s="9"/>
      <c r="V1713" s="9"/>
      <c r="W1713" s="9"/>
      <c r="X1713" s="9"/>
    </row>
    <row r="1714" spans="1:24">
      <c r="A1714" s="13" t="s">
        <v>19</v>
      </c>
      <c r="B1714" s="1"/>
      <c r="C1714" s="1" t="s">
        <v>29</v>
      </c>
      <c r="D1714" s="3">
        <v>14000</v>
      </c>
      <c r="E1714"/>
      <c r="F1714"/>
      <c r="G1714"/>
      <c r="H1714"/>
      <c r="I1714"/>
      <c r="J1714"/>
      <c r="K1714"/>
      <c r="L1714"/>
      <c r="M1714" s="18" t="s">
        <v>481</v>
      </c>
      <c r="N1714" t="s">
        <v>1345</v>
      </c>
      <c r="O1714" t="s">
        <v>1395</v>
      </c>
      <c r="P1714" s="1" t="s">
        <v>30</v>
      </c>
      <c r="Q1714" s="13" t="s">
        <v>25</v>
      </c>
      <c r="R1714">
        <v>2</v>
      </c>
      <c r="S1714">
        <v>7000</v>
      </c>
      <c r="T1714"/>
      <c r="U1714" s="9"/>
      <c r="V1714" s="9"/>
      <c r="W1714" s="9"/>
      <c r="X1714" s="9"/>
    </row>
    <row r="1715" spans="1:24">
      <c r="A1715" s="13" t="s">
        <v>19</v>
      </c>
      <c r="B1715" s="1"/>
      <c r="C1715" s="1" t="s">
        <v>29</v>
      </c>
      <c r="D1715" s="3">
        <v>14000</v>
      </c>
      <c r="E1715"/>
      <c r="F1715"/>
      <c r="G1715"/>
      <c r="H1715"/>
      <c r="I1715"/>
      <c r="J1715"/>
      <c r="K1715"/>
      <c r="L1715"/>
      <c r="M1715" s="18" t="s">
        <v>481</v>
      </c>
      <c r="N1715" t="s">
        <v>1345</v>
      </c>
      <c r="O1715" t="s">
        <v>1395</v>
      </c>
      <c r="P1715" s="1" t="s">
        <v>30</v>
      </c>
      <c r="Q1715" s="13" t="s">
        <v>25</v>
      </c>
      <c r="R1715">
        <v>2</v>
      </c>
      <c r="S1715">
        <v>7000</v>
      </c>
      <c r="T1715"/>
      <c r="U1715" s="9"/>
      <c r="V1715" s="9"/>
      <c r="W1715" s="9"/>
      <c r="X1715" s="9"/>
    </row>
    <row r="1716" spans="1:24">
      <c r="A1716" s="13" t="s">
        <v>19</v>
      </c>
      <c r="B1716" s="1"/>
      <c r="C1716" s="1" t="s">
        <v>32</v>
      </c>
      <c r="D1716" s="3">
        <v>10000</v>
      </c>
      <c r="E1716"/>
      <c r="F1716"/>
      <c r="G1716"/>
      <c r="H1716"/>
      <c r="I1716"/>
      <c r="J1716"/>
      <c r="K1716"/>
      <c r="L1716"/>
      <c r="M1716" s="18" t="s">
        <v>481</v>
      </c>
      <c r="N1716" t="s">
        <v>1345</v>
      </c>
      <c r="O1716" t="s">
        <v>1395</v>
      </c>
      <c r="P1716" s="1" t="s">
        <v>1013</v>
      </c>
      <c r="Q1716" s="13" t="s">
        <v>25</v>
      </c>
      <c r="R1716">
        <v>2</v>
      </c>
      <c r="S1716">
        <v>5000</v>
      </c>
      <c r="T1716"/>
      <c r="U1716" s="9"/>
      <c r="V1716" s="9"/>
      <c r="W1716" s="9"/>
      <c r="X1716" s="9"/>
    </row>
    <row r="1717" spans="1:24">
      <c r="A1717" s="13"/>
      <c r="B1717" s="1"/>
      <c r="C1717" s="1"/>
      <c r="D1717" s="3" t="str">
        <f>SUBTOTAL(9,D1711:D1716)</f>
        <v>0</v>
      </c>
      <c r="E1717"/>
      <c r="F1717"/>
      <c r="G1717"/>
      <c r="H1717"/>
      <c r="I1717"/>
      <c r="J1717"/>
      <c r="K1717"/>
      <c r="L1717"/>
      <c r="M1717" s="18" t="s">
        <v>482</v>
      </c>
      <c r="N1717" t="s">
        <v>1586</v>
      </c>
      <c r="O1717" t="s">
        <v>1395</v>
      </c>
      <c r="P1717" s="1"/>
      <c r="Q1717" s="13"/>
      <c r="R1717"/>
      <c r="S1717"/>
      <c r="T1717"/>
      <c r="U1717" s="9"/>
      <c r="V1717" s="9"/>
      <c r="W1717" s="9"/>
      <c r="X1717" s="9"/>
    </row>
    <row r="1718" spans="1:24">
      <c r="A1718" s="13" t="s">
        <v>19</v>
      </c>
      <c r="B1718" s="1"/>
      <c r="C1718" s="1" t="s">
        <v>20</v>
      </c>
      <c r="D1718" s="3">
        <v>64000</v>
      </c>
      <c r="E1718"/>
      <c r="F1718"/>
      <c r="G1718"/>
      <c r="H1718"/>
      <c r="I1718"/>
      <c r="J1718"/>
      <c r="K1718"/>
      <c r="L1718"/>
      <c r="M1718" s="18" t="s">
        <v>483</v>
      </c>
      <c r="N1718" t="s">
        <v>1250</v>
      </c>
      <c r="O1718" t="s">
        <v>96</v>
      </c>
      <c r="P1718" s="1" t="s">
        <v>24</v>
      </c>
      <c r="Q1718" s="13" t="s">
        <v>25</v>
      </c>
      <c r="R1718">
        <v>2</v>
      </c>
      <c r="S1718">
        <v>32000</v>
      </c>
      <c r="T1718"/>
      <c r="U1718" s="9"/>
      <c r="V1718" s="9"/>
      <c r="W1718" s="9"/>
      <c r="X1718" s="9"/>
    </row>
    <row r="1719" spans="1:24">
      <c r="A1719" s="13" t="s">
        <v>19</v>
      </c>
      <c r="B1719" s="1"/>
      <c r="C1719" s="1" t="s">
        <v>20</v>
      </c>
      <c r="D1719" s="3">
        <v>64000</v>
      </c>
      <c r="E1719"/>
      <c r="F1719"/>
      <c r="G1719"/>
      <c r="H1719"/>
      <c r="I1719"/>
      <c r="J1719"/>
      <c r="K1719"/>
      <c r="L1719"/>
      <c r="M1719" s="18" t="s">
        <v>483</v>
      </c>
      <c r="N1719" t="s">
        <v>1250</v>
      </c>
      <c r="O1719" t="s">
        <v>96</v>
      </c>
      <c r="P1719" s="1" t="s">
        <v>24</v>
      </c>
      <c r="Q1719" s="13" t="s">
        <v>25</v>
      </c>
      <c r="R1719">
        <v>2</v>
      </c>
      <c r="S1719">
        <v>32000</v>
      </c>
      <c r="T1719"/>
      <c r="U1719" s="9"/>
      <c r="V1719" s="9"/>
      <c r="W1719" s="9"/>
      <c r="X1719" s="9"/>
    </row>
    <row r="1720" spans="1:24">
      <c r="A1720" s="13" t="s">
        <v>19</v>
      </c>
      <c r="B1720" s="1"/>
      <c r="C1720" s="1" t="s">
        <v>26</v>
      </c>
      <c r="D1720" s="3">
        <v>32000</v>
      </c>
      <c r="E1720"/>
      <c r="F1720"/>
      <c r="G1720"/>
      <c r="H1720"/>
      <c r="I1720"/>
      <c r="J1720"/>
      <c r="K1720"/>
      <c r="L1720"/>
      <c r="M1720" s="18" t="s">
        <v>483</v>
      </c>
      <c r="N1720" t="s">
        <v>1250</v>
      </c>
      <c r="O1720" t="s">
        <v>96</v>
      </c>
      <c r="P1720" s="1" t="s">
        <v>512</v>
      </c>
      <c r="Q1720" s="13" t="s">
        <v>25</v>
      </c>
      <c r="R1720">
        <v>1</v>
      </c>
      <c r="S1720">
        <v>32000</v>
      </c>
      <c r="T1720"/>
      <c r="U1720" s="9"/>
      <c r="V1720" s="9"/>
      <c r="W1720" s="9"/>
      <c r="X1720" s="9"/>
    </row>
    <row r="1721" spans="1:24">
      <c r="A1721" s="13" t="s">
        <v>19</v>
      </c>
      <c r="B1721" s="1"/>
      <c r="C1721" s="1" t="s">
        <v>26</v>
      </c>
      <c r="D1721" s="3">
        <v>32000</v>
      </c>
      <c r="E1721"/>
      <c r="F1721"/>
      <c r="G1721"/>
      <c r="H1721"/>
      <c r="I1721"/>
      <c r="J1721"/>
      <c r="K1721"/>
      <c r="L1721"/>
      <c r="M1721" s="18" t="s">
        <v>483</v>
      </c>
      <c r="N1721" t="s">
        <v>1250</v>
      </c>
      <c r="O1721" t="s">
        <v>96</v>
      </c>
      <c r="P1721" s="1" t="s">
        <v>512</v>
      </c>
      <c r="Q1721" s="13" t="s">
        <v>25</v>
      </c>
      <c r="R1721">
        <v>1</v>
      </c>
      <c r="S1721">
        <v>32000</v>
      </c>
      <c r="T1721"/>
      <c r="U1721" s="9"/>
      <c r="V1721" s="9"/>
      <c r="W1721" s="9"/>
      <c r="X1721" s="9"/>
    </row>
    <row r="1722" spans="1:24">
      <c r="A1722" s="13" t="s">
        <v>19</v>
      </c>
      <c r="B1722" s="1"/>
      <c r="C1722" s="1" t="s">
        <v>26</v>
      </c>
      <c r="D1722" s="3">
        <v>37000</v>
      </c>
      <c r="E1722"/>
      <c r="F1722"/>
      <c r="G1722"/>
      <c r="H1722"/>
      <c r="I1722"/>
      <c r="J1722"/>
      <c r="K1722"/>
      <c r="L1722"/>
      <c r="M1722" s="18" t="s">
        <v>483</v>
      </c>
      <c r="N1722" t="s">
        <v>1250</v>
      </c>
      <c r="O1722" t="s">
        <v>96</v>
      </c>
      <c r="P1722" s="1" t="s">
        <v>1014</v>
      </c>
      <c r="Q1722" s="13" t="s">
        <v>25</v>
      </c>
      <c r="R1722">
        <v>1</v>
      </c>
      <c r="S1722">
        <v>37000</v>
      </c>
      <c r="T1722"/>
      <c r="U1722" s="9"/>
      <c r="V1722" s="9"/>
      <c r="W1722" s="9"/>
      <c r="X1722" s="9"/>
    </row>
    <row r="1723" spans="1:24">
      <c r="A1723" s="13" t="s">
        <v>19</v>
      </c>
      <c r="B1723" s="1"/>
      <c r="C1723" s="1" t="s">
        <v>29</v>
      </c>
      <c r="D1723" s="3">
        <v>10000</v>
      </c>
      <c r="E1723"/>
      <c r="F1723"/>
      <c r="G1723"/>
      <c r="H1723"/>
      <c r="I1723"/>
      <c r="J1723"/>
      <c r="K1723"/>
      <c r="L1723"/>
      <c r="M1723" s="18" t="s">
        <v>483</v>
      </c>
      <c r="N1723" t="s">
        <v>1250</v>
      </c>
      <c r="O1723" t="s">
        <v>96</v>
      </c>
      <c r="P1723" s="1" t="s">
        <v>30</v>
      </c>
      <c r="Q1723" s="13" t="s">
        <v>25</v>
      </c>
      <c r="R1723">
        <v>2</v>
      </c>
      <c r="S1723">
        <v>5000</v>
      </c>
      <c r="T1723"/>
      <c r="U1723" s="9"/>
      <c r="V1723" s="9"/>
      <c r="W1723" s="9"/>
      <c r="X1723" s="9"/>
    </row>
    <row r="1724" spans="1:24">
      <c r="A1724" s="13" t="s">
        <v>19</v>
      </c>
      <c r="B1724" s="1"/>
      <c r="C1724" s="1" t="s">
        <v>29</v>
      </c>
      <c r="D1724" s="3">
        <v>10000</v>
      </c>
      <c r="E1724"/>
      <c r="F1724"/>
      <c r="G1724"/>
      <c r="H1724"/>
      <c r="I1724"/>
      <c r="J1724"/>
      <c r="K1724"/>
      <c r="L1724"/>
      <c r="M1724" s="18" t="s">
        <v>483</v>
      </c>
      <c r="N1724" t="s">
        <v>1250</v>
      </c>
      <c r="O1724" t="s">
        <v>96</v>
      </c>
      <c r="P1724" s="1" t="s">
        <v>30</v>
      </c>
      <c r="Q1724" s="13" t="s">
        <v>25</v>
      </c>
      <c r="R1724">
        <v>2</v>
      </c>
      <c r="S1724">
        <v>5000</v>
      </c>
      <c r="T1724"/>
      <c r="U1724" s="9"/>
      <c r="V1724" s="9"/>
      <c r="W1724" s="9"/>
      <c r="X1724" s="9"/>
    </row>
    <row r="1725" spans="1:24">
      <c r="A1725" s="13" t="s">
        <v>19</v>
      </c>
      <c r="B1725" s="1"/>
      <c r="C1725" s="1" t="s">
        <v>32</v>
      </c>
      <c r="D1725" s="3">
        <v>5000</v>
      </c>
      <c r="E1725"/>
      <c r="F1725"/>
      <c r="G1725"/>
      <c r="H1725"/>
      <c r="I1725"/>
      <c r="J1725"/>
      <c r="K1725"/>
      <c r="L1725"/>
      <c r="M1725" s="18" t="s">
        <v>483</v>
      </c>
      <c r="N1725" t="s">
        <v>1250</v>
      </c>
      <c r="O1725" t="s">
        <v>96</v>
      </c>
      <c r="P1725" s="1" t="s">
        <v>515</v>
      </c>
      <c r="Q1725" s="13" t="s">
        <v>25</v>
      </c>
      <c r="R1725">
        <v>1</v>
      </c>
      <c r="S1725">
        <v>5000</v>
      </c>
      <c r="T1725"/>
      <c r="U1725" s="9"/>
      <c r="V1725" s="9"/>
      <c r="W1725" s="9"/>
      <c r="X1725" s="9"/>
    </row>
    <row r="1726" spans="1:24">
      <c r="A1726" s="13" t="s">
        <v>19</v>
      </c>
      <c r="B1726" s="1"/>
      <c r="C1726" s="1" t="s">
        <v>32</v>
      </c>
      <c r="D1726" s="3">
        <v>5000</v>
      </c>
      <c r="E1726"/>
      <c r="F1726"/>
      <c r="G1726"/>
      <c r="H1726"/>
      <c r="I1726"/>
      <c r="J1726"/>
      <c r="K1726"/>
      <c r="L1726"/>
      <c r="M1726" s="18" t="s">
        <v>483</v>
      </c>
      <c r="N1726" t="s">
        <v>1250</v>
      </c>
      <c r="O1726" t="s">
        <v>96</v>
      </c>
      <c r="P1726" s="1" t="s">
        <v>515</v>
      </c>
      <c r="Q1726" s="13" t="s">
        <v>25</v>
      </c>
      <c r="R1726">
        <v>1</v>
      </c>
      <c r="S1726">
        <v>5000</v>
      </c>
      <c r="T1726"/>
      <c r="U1726" s="9"/>
      <c r="V1726" s="9"/>
      <c r="W1726" s="9"/>
      <c r="X1726" s="9"/>
    </row>
    <row r="1727" spans="1:24">
      <c r="A1727" s="13" t="s">
        <v>19</v>
      </c>
      <c r="B1727" s="1"/>
      <c r="C1727" s="1" t="s">
        <v>32</v>
      </c>
      <c r="D1727" s="3">
        <v>5000</v>
      </c>
      <c r="E1727"/>
      <c r="F1727"/>
      <c r="G1727"/>
      <c r="H1727"/>
      <c r="I1727"/>
      <c r="J1727"/>
      <c r="K1727"/>
      <c r="L1727"/>
      <c r="M1727" s="18" t="s">
        <v>483</v>
      </c>
      <c r="N1727" t="s">
        <v>1250</v>
      </c>
      <c r="O1727" t="s">
        <v>96</v>
      </c>
      <c r="P1727" s="1" t="s">
        <v>1015</v>
      </c>
      <c r="Q1727" s="13" t="s">
        <v>25</v>
      </c>
      <c r="R1727">
        <v>1</v>
      </c>
      <c r="S1727">
        <v>5000</v>
      </c>
      <c r="T1727"/>
      <c r="U1727" s="9"/>
      <c r="V1727" s="9"/>
      <c r="W1727" s="9"/>
      <c r="X1727" s="9"/>
    </row>
    <row r="1728" spans="1:24">
      <c r="A1728" s="13"/>
      <c r="B1728" s="1"/>
      <c r="C1728" s="1"/>
      <c r="D1728" s="3" t="str">
        <f>SUBTOTAL(9,D1718:D1727)</f>
        <v>0</v>
      </c>
      <c r="E1728"/>
      <c r="F1728"/>
      <c r="G1728"/>
      <c r="H1728"/>
      <c r="I1728"/>
      <c r="J1728"/>
      <c r="K1728"/>
      <c r="L1728"/>
      <c r="M1728" s="18" t="s">
        <v>484</v>
      </c>
      <c r="N1728" t="s">
        <v>1587</v>
      </c>
      <c r="O1728" t="s">
        <v>96</v>
      </c>
      <c r="P1728" s="1"/>
      <c r="Q1728" s="13"/>
      <c r="R1728"/>
      <c r="S1728"/>
      <c r="T1728"/>
      <c r="U1728" s="9"/>
      <c r="V1728" s="9"/>
      <c r="W1728" s="9"/>
      <c r="X1728" s="9"/>
    </row>
    <row r="1729" spans="1:24">
      <c r="A1729" s="13" t="s">
        <v>19</v>
      </c>
      <c r="B1729" s="1"/>
      <c r="C1729" s="1" t="s">
        <v>20</v>
      </c>
      <c r="D1729" s="3">
        <v>64000</v>
      </c>
      <c r="E1729"/>
      <c r="F1729"/>
      <c r="G1729"/>
      <c r="H1729"/>
      <c r="I1729"/>
      <c r="J1729"/>
      <c r="K1729"/>
      <c r="L1729"/>
      <c r="M1729" s="18" t="s">
        <v>485</v>
      </c>
      <c r="N1729" t="s">
        <v>1176</v>
      </c>
      <c r="O1729" t="s">
        <v>1395</v>
      </c>
      <c r="P1729" s="1" t="s">
        <v>1016</v>
      </c>
      <c r="Q1729" s="13" t="s">
        <v>25</v>
      </c>
      <c r="R1729">
        <v>2</v>
      </c>
      <c r="S1729">
        <v>32000</v>
      </c>
      <c r="T1729"/>
      <c r="U1729" s="9"/>
      <c r="V1729" s="9"/>
      <c r="W1729" s="9"/>
      <c r="X1729" s="9"/>
    </row>
    <row r="1730" spans="1:24">
      <c r="A1730" s="13" t="s">
        <v>19</v>
      </c>
      <c r="B1730" s="1"/>
      <c r="C1730" s="1" t="s">
        <v>20</v>
      </c>
      <c r="D1730" s="3">
        <v>64000</v>
      </c>
      <c r="E1730"/>
      <c r="F1730"/>
      <c r="G1730"/>
      <c r="H1730"/>
      <c r="I1730"/>
      <c r="J1730"/>
      <c r="K1730"/>
      <c r="L1730"/>
      <c r="M1730" s="18" t="s">
        <v>485</v>
      </c>
      <c r="N1730" t="s">
        <v>1176</v>
      </c>
      <c r="O1730" t="s">
        <v>1395</v>
      </c>
      <c r="P1730" s="1" t="s">
        <v>741</v>
      </c>
      <c r="Q1730" s="13" t="s">
        <v>25</v>
      </c>
      <c r="R1730">
        <v>2</v>
      </c>
      <c r="S1730">
        <v>32000</v>
      </c>
      <c r="T1730"/>
      <c r="U1730" s="9"/>
      <c r="V1730" s="9"/>
      <c r="W1730" s="9"/>
      <c r="X1730" s="9"/>
    </row>
    <row r="1731" spans="1:24">
      <c r="A1731" s="13" t="s">
        <v>19</v>
      </c>
      <c r="B1731" s="1"/>
      <c r="C1731" s="1" t="s">
        <v>29</v>
      </c>
      <c r="D1731" s="3">
        <v>10000</v>
      </c>
      <c r="E1731"/>
      <c r="F1731"/>
      <c r="G1731"/>
      <c r="H1731"/>
      <c r="I1731"/>
      <c r="J1731"/>
      <c r="K1731"/>
      <c r="L1731"/>
      <c r="M1731" s="18" t="s">
        <v>485</v>
      </c>
      <c r="N1731" t="s">
        <v>1176</v>
      </c>
      <c r="O1731" t="s">
        <v>1395</v>
      </c>
      <c r="P1731" s="1" t="s">
        <v>1017</v>
      </c>
      <c r="Q1731" s="13" t="s">
        <v>25</v>
      </c>
      <c r="R1731">
        <v>2</v>
      </c>
      <c r="S1731">
        <v>5000</v>
      </c>
      <c r="T1731"/>
      <c r="U1731" s="9"/>
      <c r="V1731" s="9"/>
      <c r="W1731" s="9"/>
      <c r="X1731" s="9"/>
    </row>
    <row r="1732" spans="1:24">
      <c r="A1732" s="13" t="s">
        <v>19</v>
      </c>
      <c r="B1732" s="1"/>
      <c r="C1732" s="1" t="s">
        <v>29</v>
      </c>
      <c r="D1732" s="3">
        <v>10000</v>
      </c>
      <c r="E1732"/>
      <c r="F1732"/>
      <c r="G1732"/>
      <c r="H1732"/>
      <c r="I1732"/>
      <c r="J1732"/>
      <c r="K1732"/>
      <c r="L1732"/>
      <c r="M1732" s="18" t="s">
        <v>485</v>
      </c>
      <c r="N1732" t="s">
        <v>1176</v>
      </c>
      <c r="O1732" t="s">
        <v>1395</v>
      </c>
      <c r="P1732" s="1" t="s">
        <v>743</v>
      </c>
      <c r="Q1732" s="13" t="s">
        <v>25</v>
      </c>
      <c r="R1732">
        <v>2</v>
      </c>
      <c r="S1732">
        <v>5000</v>
      </c>
      <c r="T1732"/>
      <c r="U1732" s="9"/>
      <c r="V1732" s="9"/>
      <c r="W1732" s="9"/>
      <c r="X1732" s="9"/>
    </row>
    <row r="1733" spans="1:24">
      <c r="A1733" s="13"/>
      <c r="B1733" s="1"/>
      <c r="C1733" s="1"/>
      <c r="D1733" s="3" t="str">
        <f>SUBTOTAL(9,D1729:D1732)</f>
        <v>0</v>
      </c>
      <c r="E1733"/>
      <c r="F1733"/>
      <c r="G1733"/>
      <c r="H1733"/>
      <c r="I1733"/>
      <c r="J1733"/>
      <c r="K1733"/>
      <c r="L1733"/>
      <c r="M1733" s="18" t="s">
        <v>486</v>
      </c>
      <c r="N1733" t="s">
        <v>1588</v>
      </c>
      <c r="O1733" t="s">
        <v>1395</v>
      </c>
      <c r="P1733" s="1"/>
      <c r="Q1733" s="13"/>
      <c r="R1733"/>
      <c r="S1733"/>
      <c r="T1733"/>
      <c r="U1733" s="9"/>
      <c r="V1733" s="9"/>
      <c r="W1733" s="9"/>
      <c r="X1733" s="9"/>
    </row>
    <row r="1734" spans="1:24">
      <c r="A1734" s="13" t="s">
        <v>19</v>
      </c>
      <c r="B1734" s="1"/>
      <c r="C1734" s="1" t="s">
        <v>20</v>
      </c>
      <c r="D1734" s="3">
        <v>60000</v>
      </c>
      <c r="E1734"/>
      <c r="F1734"/>
      <c r="G1734"/>
      <c r="H1734"/>
      <c r="I1734"/>
      <c r="J1734"/>
      <c r="K1734"/>
      <c r="L1734"/>
      <c r="M1734" s="18" t="s">
        <v>487</v>
      </c>
      <c r="N1734" t="s">
        <v>1211</v>
      </c>
      <c r="O1734" t="s">
        <v>1395</v>
      </c>
      <c r="P1734" s="1" t="s">
        <v>764</v>
      </c>
      <c r="Q1734" s="13" t="s">
        <v>25</v>
      </c>
      <c r="R1734">
        <v>2</v>
      </c>
      <c r="S1734">
        <v>30000</v>
      </c>
      <c r="T1734"/>
      <c r="U1734" s="9"/>
      <c r="V1734" s="9"/>
      <c r="W1734" s="9"/>
      <c r="X1734" s="9"/>
    </row>
    <row r="1735" spans="1:24">
      <c r="A1735" s="13" t="s">
        <v>19</v>
      </c>
      <c r="B1735" s="1"/>
      <c r="C1735" s="1" t="s">
        <v>29</v>
      </c>
      <c r="D1735" s="3">
        <v>10000</v>
      </c>
      <c r="E1735"/>
      <c r="F1735"/>
      <c r="G1735"/>
      <c r="H1735"/>
      <c r="I1735"/>
      <c r="J1735"/>
      <c r="K1735"/>
      <c r="L1735"/>
      <c r="M1735" s="18" t="s">
        <v>487</v>
      </c>
      <c r="N1735" t="s">
        <v>1211</v>
      </c>
      <c r="O1735" t="s">
        <v>1395</v>
      </c>
      <c r="P1735" s="1" t="s">
        <v>771</v>
      </c>
      <c r="Q1735" s="13" t="s">
        <v>25</v>
      </c>
      <c r="R1735">
        <v>2</v>
      </c>
      <c r="S1735">
        <v>5000</v>
      </c>
      <c r="T1735"/>
      <c r="U1735" s="9"/>
      <c r="V1735" s="9"/>
      <c r="W1735" s="9"/>
      <c r="X1735" s="9"/>
    </row>
    <row r="1736" spans="1:24">
      <c r="A1736" s="13"/>
      <c r="B1736" s="1"/>
      <c r="C1736" s="1"/>
      <c r="D1736" s="3" t="str">
        <f>SUBTOTAL(9,D1734:D1735)</f>
        <v>0</v>
      </c>
      <c r="E1736"/>
      <c r="F1736"/>
      <c r="G1736"/>
      <c r="H1736"/>
      <c r="I1736"/>
      <c r="J1736"/>
      <c r="K1736"/>
      <c r="L1736"/>
      <c r="M1736" s="18" t="s">
        <v>488</v>
      </c>
      <c r="N1736" t="s">
        <v>1589</v>
      </c>
      <c r="O1736" t="s">
        <v>1395</v>
      </c>
      <c r="P1736" s="1"/>
      <c r="Q1736" s="13"/>
      <c r="R1736"/>
      <c r="S1736"/>
      <c r="T1736"/>
      <c r="U1736" s="9"/>
      <c r="V1736" s="9"/>
      <c r="W1736" s="9"/>
      <c r="X1736" s="9"/>
    </row>
    <row r="1737" spans="1:24">
      <c r="A1737" s="13"/>
      <c r="B1737" s="1"/>
      <c r="C1737" s="1"/>
      <c r="D1737" s="3" t="str">
        <f>SUBTOTAL(9,D2:D1736)</f>
        <v>0</v>
      </c>
      <c r="E1737"/>
      <c r="F1737"/>
      <c r="G1737"/>
      <c r="H1737"/>
      <c r="I1737"/>
      <c r="J1737"/>
      <c r="K1737"/>
      <c r="L1737"/>
      <c r="M1737" s="18" t="s">
        <v>489</v>
      </c>
      <c r="N1737"/>
      <c r="O1737"/>
      <c r="P1737" s="1"/>
      <c r="Q1737" s="13"/>
      <c r="R1737"/>
      <c r="S1737"/>
      <c r="T1737"/>
      <c r="U1737" s="9"/>
      <c r="V1737" s="9"/>
      <c r="W1737" s="9"/>
      <c r="X1737" s="9"/>
    </row>
    <row r="1738" spans="1:24" customHeight="1" ht="19.5">
      <c r="A1738"/>
      <c r="B1738"/>
      <c r="C1738" s="22" t="s">
        <v>103</v>
      </c>
      <c r="D1738" s="23" t="str">
        <f>SUM(D1742:D1746,D1749:D1752,D1758:D1765,D1772,D1775:D1776,D1789,D1791,D1766:D1767,D1794,D1796:D1797)</f>
        <v>0</v>
      </c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customHeight="1" ht="19.5">
      <c r="A1739"/>
      <c r="B1739"/>
      <c r="C1739" s="24" t="s">
        <v>102</v>
      </c>
      <c r="D1739" s="25" t="str">
        <f>SUBTOTAL(9,D1749:D1752,D1758:D1767,D1775:D1776,D1789)</f>
        <v>0</v>
      </c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</row>
    <row r="1740" spans="1:24">
      <c r="A1740" s="9"/>
      <c r="B1740" s="9"/>
      <c r="C1740" s="9"/>
      <c r="D1740" s="10"/>
      <c r="E1740" s="10"/>
      <c r="F1740" s="10"/>
      <c r="G1740" s="10"/>
      <c r="H1740" s="10"/>
      <c r="I1740" s="10"/>
      <c r="J1740" s="10"/>
      <c r="K1740" s="10"/>
      <c r="L1740" s="10"/>
      <c r="M1740" s="26" t="s">
        <v>101</v>
      </c>
      <c r="N1740" s="10"/>
      <c r="O1740" s="9"/>
      <c r="P1740" s="9"/>
      <c r="Q1740" s="9"/>
      <c r="R1740" s="9"/>
      <c r="S1740" s="10"/>
      <c r="T1740" s="9"/>
      <c r="U1740" s="9"/>
      <c r="V1740" s="9"/>
      <c r="W1740" s="9"/>
      <c r="X1740" s="9"/>
    </row>
    <row r="1741" spans="1:24">
      <c r="A1741" s="27" t="s">
        <v>100</v>
      </c>
      <c r="B1741" s="27"/>
      <c r="C1741" s="28"/>
      <c r="D1741" s="29" t="str">
        <f>SUM(D1742:D1746)</f>
        <v>0</v>
      </c>
      <c r="E1741" s="30" t="s">
        <v>99</v>
      </c>
      <c r="F1741" s="30" t="s">
        <v>98</v>
      </c>
      <c r="G1741" s="30" t="s">
        <v>97</v>
      </c>
      <c r="H1741" s="30" t="s">
        <v>96</v>
      </c>
      <c r="I1741" s="31" t="s">
        <v>95</v>
      </c>
      <c r="J1741" s="30" t="s">
        <v>94</v>
      </c>
      <c r="K1741" s="30" t="s">
        <v>23</v>
      </c>
      <c r="L1741" s="31" t="s">
        <v>93</v>
      </c>
      <c r="M1741" s="32">
        <v>53890389</v>
      </c>
      <c r="N1741" s="10"/>
      <c r="O1741" s="9"/>
      <c r="P1741" s="32" t="str">
        <f>D1741-M1741</f>
        <v>0</v>
      </c>
      <c r="Q1741" s="33"/>
      <c r="R1741" s="9"/>
      <c r="S1741" s="10"/>
      <c r="T1741" s="9"/>
      <c r="U1741" s="9"/>
      <c r="V1741" s="9"/>
      <c r="W1741" s="9"/>
      <c r="X1741" s="9"/>
    </row>
    <row r="1742" spans="1:24" customHeight="1" ht="24">
      <c r="A1742" s="34" t="s">
        <v>86</v>
      </c>
      <c r="B1742" s="35" t="s">
        <v>45</v>
      </c>
      <c r="C1742" s="36" t="s">
        <v>20</v>
      </c>
      <c r="D1742" s="29" t="str">
        <f>SUMIF($C$2:$C$1737,"手数料収入",$D$2:$D$1737)</f>
        <v>0</v>
      </c>
      <c r="E1742" s="37" t="str">
        <f>_xlfn.SUMIFS($D$1:$D$1731,$C$1:$C$1731,"手数料収入",$O$1:$O$1731,"八重洲")</f>
        <v>0</v>
      </c>
      <c r="F1742" s="37" t="str">
        <f>_xlfn.SUMIFS($D$1:$D$1731,$C$1:$C$1731,"手数料収入",$O$1:$O$1731,"滋賀")</f>
        <v>0</v>
      </c>
      <c r="G1742" s="37" t="str">
        <f>_xlfn.SUMIFS($D$1:$D$1731,$C$1:$C$1731,"手数料収入",$O$1:$O$1731,"神戸")</f>
        <v>0</v>
      </c>
      <c r="H1742" s="37" t="str">
        <f>_xlfn.SUMIFS($D$1:$D$1731,$C$1:$C$1731,"手数料収入",$O$1:$O$1731,"名古屋")</f>
        <v>0</v>
      </c>
      <c r="I1742" s="37" t="str">
        <f>_xlfn.SUMIFS($D$1:$D$1731,$C$1:$C$1731,"手数料収入",$O$1:$O$1731,"福岡(宮崎)")</f>
        <v>0</v>
      </c>
      <c r="J1742" s="37" t="str">
        <f>_xlfn.SUMIFS($D$1:$D$1731,$C$1:$C$1731,"手数料収入",$O$1:$O$1731,"仙台")</f>
        <v>0</v>
      </c>
      <c r="K1742" s="37" t="str">
        <f>_xlfn.SUMIFS($D$1:$D$1731,$C$1:$C$1731,"手数料収入",$O$1:$O$1731,"本部")</f>
        <v>0</v>
      </c>
      <c r="L1742" s="37" t="str">
        <f>_xlfn.SUMIFS($D$1:$D$1731,$C$1:$C$1731,"手数料収入",$O$1:$O$1731,"札幌")</f>
        <v>0</v>
      </c>
      <c r="M1742" s="32">
        <v>41500519</v>
      </c>
      <c r="N1742"/>
      <c r="O1742"/>
      <c r="P1742" s="32" t="str">
        <f>D1742-M1742</f>
        <v>0</v>
      </c>
      <c r="Q1742" s="33"/>
      <c r="R1742"/>
      <c r="S1742"/>
      <c r="T1742"/>
      <c r="U1742"/>
      <c r="V1742"/>
      <c r="W1742"/>
      <c r="X1742"/>
    </row>
    <row r="1743" spans="1:24">
      <c r="A1743" s="34"/>
      <c r="B1743" s="38"/>
      <c r="C1743" s="39" t="s">
        <v>92</v>
      </c>
      <c r="D1743" s="40" t="str">
        <f>SUMIF($C$2:$C$1737,"建設手数料収入",$D$2:$D$1737)</f>
        <v>0</v>
      </c>
      <c r="E1743" s="3" t="str">
        <f>_xlfn.SUMIFS($D$1:$D$1731,$C$1:$C$1731,"建設手数料収入",$O$1:$O$1731,"八重洲")</f>
        <v>0</v>
      </c>
      <c r="F1743" s="3" t="str">
        <f>_xlfn.SUMIFS($D$1:$D$1731,$C$1:$C$1731,"建設手数料収入",$O$1:$O$1731,"滋賀")</f>
        <v>0</v>
      </c>
      <c r="G1743" s="3" t="str">
        <f>_xlfn.SUMIFS($D$1:$D$1731,$C$1:$C$1731,"建設手数料収入",$O$1:$O$1731,"神戸")</f>
        <v>0</v>
      </c>
      <c r="H1743" s="3" t="str">
        <f>_xlfn.SUMIFS($D$1:$D$1731,$C$1:$C$1731,"建設手数料収入",$O$1:$O$1731,"名古屋")</f>
        <v>0</v>
      </c>
      <c r="I1743" s="3" t="str">
        <f>_xlfn.SUMIFS($D$1:$D$1731,$C$1:$C$1731,"建設手数料収入",$O$1:$O$1731,"宮崎")</f>
        <v>0</v>
      </c>
      <c r="J1743" s="3" t="str">
        <f>_xlfn.SUMIFS($D$1:$D$1731,$C$1:$C$1731,"建設手数料収入",$O$1:$O$1731,"仙台")</f>
        <v>0</v>
      </c>
      <c r="K1743" s="3" t="str">
        <f>_xlfn.SUMIFS($D$1:$D$1731,$C$1:$C$1731,"建設手数料収入",$O$1:$O$1731,"本部")</f>
        <v>0</v>
      </c>
      <c r="L1743" s="3" t="str">
        <f>_xlfn.SUMIFS($D$1:$D$1731,$C$1:$C$1731,"建設手数料収入",$O$1:$O$1731,"札幌")</f>
        <v>0</v>
      </c>
      <c r="M1743" s="32">
        <v>0</v>
      </c>
      <c r="N1743" s="10"/>
      <c r="O1743" s="9"/>
      <c r="P1743" s="32" t="str">
        <f>D1743-M1743</f>
        <v>0</v>
      </c>
      <c r="Q1743" s="9"/>
      <c r="R1743" s="9"/>
      <c r="S1743" s="10"/>
      <c r="T1743" s="9"/>
      <c r="U1743" s="9"/>
      <c r="V1743" s="9"/>
      <c r="W1743" s="9"/>
      <c r="X1743" s="9"/>
    </row>
    <row r="1744" spans="1:24" customHeight="1" ht="24">
      <c r="A1744" s="34"/>
      <c r="B1744" s="35" t="s">
        <v>45</v>
      </c>
      <c r="C1744" s="41" t="s">
        <v>26</v>
      </c>
      <c r="D1744" s="40" t="str">
        <f>SUMIF($C$2:$C$1737,"特技手数料収入",$D$2:$D$1737)</f>
        <v>0</v>
      </c>
      <c r="E1744" s="37" t="str">
        <f>_xlfn.SUMIFS($D$1:$D$1731,$C$1:$C$1731,"特技手数料収入",$O$1:$O$1731,"八重洲")</f>
        <v>0</v>
      </c>
      <c r="F1744" s="37" t="str">
        <f>_xlfn.SUMIFS($D$1:$D$1731,$C$1:$C$1731,"特技手数料収入",$O$1:$O$1731,"滋賀")</f>
        <v>0</v>
      </c>
      <c r="G1744" s="37" t="str">
        <f>_xlfn.SUMIFS($D$1:$D$1731,$C$1:$C$1731,"特技手数料収入",$O$1:$O$1731,"神戸")</f>
        <v>0</v>
      </c>
      <c r="H1744" s="37" t="str">
        <f>_xlfn.SUMIFS($D$1:$D$1731,$C$1:$C$1731,"特技手数料収入",$O$1:$O$1731,"名古屋")</f>
        <v>0</v>
      </c>
      <c r="I1744" s="37" t="str">
        <f>_xlfn.SUMIFS($D$1:$D$1731,$C$1:$C$1731,"特技手数料収入",$O$1:$O$1731,"福岡(宮崎)")</f>
        <v>0</v>
      </c>
      <c r="J1744" s="37" t="str">
        <f>_xlfn.SUMIFS($D$1:$D$1731,$C$1:$C$1731,"特技手数料収入",$O$1:$O$1731,"仙台")</f>
        <v>0</v>
      </c>
      <c r="K1744" s="37" t="str">
        <f>_xlfn.SUMIFS($D$1:$D$1731,$C$1:$C$1731,"特技手数料収入",$O$1:$O$1731,"本部")</f>
        <v>0</v>
      </c>
      <c r="L1744" s="37" t="str">
        <f>_xlfn.SUMIFS($D$1:$D$1731,$C$1:$C$1731,"特技手数料収入",$O$1:$O$1731,"札幌")</f>
        <v>0</v>
      </c>
      <c r="M1744" s="32">
        <v>12389870</v>
      </c>
      <c r="N1744"/>
      <c r="O1744"/>
      <c r="P1744" s="32" t="str">
        <f>D1744-M1744</f>
        <v>0</v>
      </c>
      <c r="Q1744"/>
      <c r="R1744"/>
      <c r="S1744"/>
      <c r="T1744"/>
      <c r="U1744"/>
      <c r="V1744"/>
      <c r="W1744"/>
      <c r="X1744"/>
    </row>
    <row r="1745" spans="1:24">
      <c r="A1745" s="34"/>
      <c r="B1745" s="38"/>
      <c r="C1745" s="39" t="s">
        <v>91</v>
      </c>
      <c r="D1745" s="40" t="str">
        <f>SUMIF($C$2:$C$1737,"その他収入",$D$2:$D$1737)</f>
        <v>0</v>
      </c>
      <c r="E1745" s="14"/>
      <c r="F1745" s="14"/>
      <c r="G1745" s="14"/>
      <c r="H1745" s="14"/>
      <c r="I1745" s="14"/>
      <c r="J1745" s="14"/>
      <c r="K1745" s="21"/>
      <c r="L1745" s="14"/>
      <c r="M1745" s="32">
        <v>0</v>
      </c>
      <c r="N1745" s="10"/>
      <c r="O1745" s="9"/>
      <c r="P1745" s="32" t="str">
        <f>D1745-M1745</f>
        <v>0</v>
      </c>
      <c r="Q1745" s="33"/>
      <c r="R1745" s="9"/>
      <c r="S1745" s="10"/>
      <c r="T1745" s="9"/>
      <c r="U1745" s="9"/>
      <c r="V1745" s="9"/>
      <c r="W1745" s="9"/>
      <c r="X1745" s="9"/>
    </row>
    <row r="1746" spans="1:24" customHeight="1" ht="24">
      <c r="A1746" s="34"/>
      <c r="B1746" s="35" t="s">
        <v>45</v>
      </c>
      <c r="C1746" s="42" t="s">
        <v>90</v>
      </c>
      <c r="D1746" s="40" t="str">
        <f>SUMIF($C$2:$C$1737,"特定活動支援手数料",$D$2:$D$1737)</f>
        <v>0</v>
      </c>
      <c r="E1746" s="37" t="str">
        <f>_xlfn.SUMIFS($D$1:$D$1731,$C$1:$C$1731,"特定活動支援手数料",$O$1:$O$1731,"八重洲")</f>
        <v>0</v>
      </c>
      <c r="F1746" s="37" t="str">
        <f>_xlfn.SUMIFS($D$1:$D$1731,$C$1:$C$1731,"特定活動支援手数料",$O$1:$O$1731,"滋賀")</f>
        <v>0</v>
      </c>
      <c r="G1746" s="37" t="str">
        <f>_xlfn.SUMIFS($D$1:$D$1731,$C$1:$C$1731,"特定活動支援手数料",$O$1:$O$1731,"神戸")</f>
        <v>0</v>
      </c>
      <c r="H1746" s="37" t="str">
        <f>_xlfn.SUMIFS($D$1:$D$1731,$C$1:$C$1731,"特定活動支援手数料",$O$1:$O$1731,"名古屋")</f>
        <v>0</v>
      </c>
      <c r="I1746" s="37" t="str">
        <f>_xlfn.SUMIFS($D$1:$D$1731,$C$1:$C$1731,"特定活動支援手数料",$O$1:$O$1731,"福岡(宮崎)")</f>
        <v>0</v>
      </c>
      <c r="J1746" s="37" t="str">
        <f>_xlfn.SUMIFS($D$1:$D$1731,$C$1:$C$1731,"特定活動支援手数料",$O$1:$O$1731,"仙台")</f>
        <v>0</v>
      </c>
      <c r="K1746" s="37" t="str">
        <f>_xlfn.SUMIFS($D$1:$D$1731,$C$1:$C$1731,"特定活動支援手数料",$O$1:$O$1731,"本部")</f>
        <v>0</v>
      </c>
      <c r="L1746" s="37" t="str">
        <f>_xlfn.SUMIFS($D$1:$D$1731,$C$1:$C$1731,"特定活動支援手数料",$O$1:$O$1731,"札幌")</f>
        <v>0</v>
      </c>
      <c r="M1746" s="32">
        <v>0</v>
      </c>
      <c r="N1746"/>
      <c r="O1746"/>
      <c r="P1746" s="32" t="str">
        <f>D1746-M1746</f>
        <v>0</v>
      </c>
      <c r="Q1746" s="33"/>
      <c r="R1746"/>
      <c r="S1746"/>
      <c r="T1746"/>
      <c r="U1746"/>
      <c r="V1746"/>
      <c r="W1746"/>
      <c r="X1746"/>
    </row>
    <row r="1747" spans="1:24">
      <c r="A1747" s="34"/>
      <c r="B1747" s="34"/>
      <c r="C1747" s="9"/>
      <c r="D1747" s="43"/>
      <c r="E1747" s="44"/>
      <c r="F1747" s="44"/>
      <c r="G1747" s="44"/>
      <c r="H1747" s="44"/>
      <c r="I1747" s="45"/>
      <c r="J1747" s="44"/>
      <c r="K1747" s="44"/>
      <c r="L1747" s="45"/>
      <c r="M1747" s="32"/>
      <c r="N1747" s="10"/>
      <c r="O1747" s="9"/>
      <c r="P1747" s="32"/>
      <c r="Q1747" s="33"/>
      <c r="R1747" s="9"/>
      <c r="S1747" s="10"/>
      <c r="T1747" s="9"/>
      <c r="U1747" s="9"/>
      <c r="V1747" s="9"/>
      <c r="W1747" s="9"/>
      <c r="X1747" s="9"/>
    </row>
    <row r="1748" spans="1:24">
      <c r="A1748" s="27" t="s">
        <v>29</v>
      </c>
      <c r="B1748" s="27"/>
      <c r="C1748" s="28"/>
      <c r="D1748" s="29" t="str">
        <f>SUM(D1749:D1752)</f>
        <v>0</v>
      </c>
      <c r="E1748" s="14"/>
      <c r="F1748" s="14"/>
      <c r="G1748" s="14"/>
      <c r="H1748" s="14"/>
      <c r="I1748" s="14"/>
      <c r="J1748" s="14"/>
      <c r="K1748" s="21"/>
      <c r="L1748" s="14"/>
      <c r="M1748" s="32">
        <v>12352323</v>
      </c>
      <c r="N1748" s="10"/>
      <c r="O1748" s="9"/>
      <c r="P1748" s="32" t="str">
        <f>D1748-M1748</f>
        <v>0</v>
      </c>
      <c r="Q1748" s="9"/>
      <c r="R1748" s="9"/>
      <c r="S1748" s="10"/>
      <c r="T1748" s="9"/>
      <c r="U1748" s="9"/>
      <c r="V1748" s="9"/>
      <c r="W1748" s="9"/>
      <c r="X1748" s="9"/>
    </row>
    <row r="1749" spans="1:24">
      <c r="A1749" s="34" t="s">
        <v>86</v>
      </c>
      <c r="B1749" s="47" t="s">
        <v>51</v>
      </c>
      <c r="C1749" s="48" t="s">
        <v>29</v>
      </c>
      <c r="D1749" s="29" t="str">
        <f>SUMIF($C$2:$C$1737,"派遣機関ﾌｨｰ受入",$D$2:$D$1737)</f>
        <v>0</v>
      </c>
      <c r="E1749" s="37" t="str">
        <f>_xlfn.SUMIFS($D$1:$D$1731,$C$1:$C$1731,"派遣機関ﾌｨｰ受入",$O$1:$O$1731,"八重洲")</f>
        <v>0</v>
      </c>
      <c r="F1749" s="37" t="str">
        <f>_xlfn.SUMIFS($D$1:$D$1731,$C$1:$C$1731,"派遣機関ﾌｨｰ受入",$O$1:$O$1731,"滋賀")</f>
        <v>0</v>
      </c>
      <c r="G1749" s="37" t="str">
        <f>_xlfn.SUMIFS($D$1:$D$1731,$C$1:$C$1731,"派遣機関ﾌｨｰ受入",$O$1:$O$1731,"神戸")</f>
        <v>0</v>
      </c>
      <c r="H1749" s="37" t="str">
        <f>_xlfn.SUMIFS($D$1:$D$1731,$C$1:$C$1731,"派遣機関ﾌｨｰ受入",$O$1:$O$1731,"名古屋")</f>
        <v>0</v>
      </c>
      <c r="I1749" s="37" t="str">
        <f>_xlfn.SUMIFS($D$1:$D$1731,$C$1:$C$1731,"派遣機関ﾌｨｰ受入",$O$1:$O$1731,"福岡(宮崎)")</f>
        <v>0</v>
      </c>
      <c r="J1749" s="37" t="str">
        <f>_xlfn.SUMIFS($D$1:$D$1731,$C$1:$C$1731,"派遣機関ﾌｨｰ受入",$O$1:$O$1731,"仙台")</f>
        <v>0</v>
      </c>
      <c r="K1749" s="37" t="str">
        <f>_xlfn.SUMIFS($D$1:$D$1731,$C$1:$C$1731,"派遣機関ﾌｨｰ受入",$O$1:$O$1731,"本部")</f>
        <v>0</v>
      </c>
      <c r="L1749" s="37" t="str">
        <f>_xlfn.SUMIFS($D$1:$D$1731,$C$1:$C$1731,"派遣機関ﾌｨｰ受入",$O$1:$O$1731,"札幌")</f>
        <v>0</v>
      </c>
      <c r="M1749" s="32">
        <v>9495997</v>
      </c>
      <c r="N1749" s="10"/>
      <c r="O1749" s="9"/>
      <c r="P1749" s="32" t="str">
        <f>D1749-M1749</f>
        <v>0</v>
      </c>
      <c r="Q1749" s="9"/>
      <c r="R1749" s="9"/>
      <c r="S1749" s="10"/>
      <c r="T1749" s="9"/>
      <c r="U1749" s="9"/>
      <c r="V1749" s="9"/>
      <c r="W1749" s="9"/>
      <c r="X1749" s="9"/>
    </row>
    <row r="1750" spans="1:24">
      <c r="A1750" s="9"/>
      <c r="B1750" s="49"/>
      <c r="C1750" s="39" t="s">
        <v>89</v>
      </c>
      <c r="D1750" s="40" t="str">
        <f>SUMIF($C$2:$C$1737,"建設派遣機関ﾌｨｰ受入",$D$2:$D$1737)</f>
        <v>0</v>
      </c>
      <c r="E1750" s="3" t="str">
        <f>_xlfn.SUMIFS($D$1:$D$1731,$C$1:$C$1731,"建設派遣機関ﾌｨｰ受入",$O$1:$O$1731,"八重洲")</f>
        <v>0</v>
      </c>
      <c r="F1750" s="3" t="str">
        <f>_xlfn.SUMIFS($D$1:$D$1731,$C$1:$C$1731,"建設派遣機関ﾌｨｰ受入",$O$1:$O$1731,"滋賀")</f>
        <v>0</v>
      </c>
      <c r="G1750" s="3" t="str">
        <f>_xlfn.SUMIFS($D$1:$D$1731,$C$1:$C$1731,"建設派遣機関ﾌｨｰ受入",$O$1:$O$1731,"神戸")</f>
        <v>0</v>
      </c>
      <c r="H1750" s="3" t="str">
        <f>_xlfn.SUMIFS($D$1:$D$1731,$C$1:$C$1731,"建設派遣機関ﾌｨｰ受入",$O$1:$O$1731,"名古屋")</f>
        <v>0</v>
      </c>
      <c r="I1750" s="3" t="str">
        <f>_xlfn.SUMIFS($D$1:$D$1731,$C$1:$C$1731,"建設派遣機関ﾌｨｰ受入",$O$1:$O$1731,"宮崎")</f>
        <v>0</v>
      </c>
      <c r="J1750" s="3" t="str">
        <f>_xlfn.SUMIFS($D$1:$D$1731,$C$1:$C$1731,"建設派遣機関ﾌｨｰ受入",$O$1:$O$1731,"仙台")</f>
        <v>0</v>
      </c>
      <c r="K1750" s="3" t="str">
        <f>_xlfn.SUMIFS($D$1:$D$1731,$C$1:$C$1731,"建設派遣機関ﾌｨｰ受入",$O$1:$O$1731,"本部")</f>
        <v>0</v>
      </c>
      <c r="L1750" s="3" t="str">
        <f>_xlfn.SUMIFS($D$1:$D$1731,$C$1:$C$1731,"建設派遣機関ﾌｨｰ受入",$O$1:$O$1731,"札幌")</f>
        <v>0</v>
      </c>
      <c r="M1750" s="32">
        <v>0</v>
      </c>
      <c r="N1750" s="10"/>
      <c r="O1750" s="9"/>
      <c r="P1750" s="32" t="str">
        <f>D1750-M1750</f>
        <v>0</v>
      </c>
      <c r="Q1750" s="9"/>
      <c r="R1750" s="9"/>
      <c r="S1750" s="10"/>
      <c r="T1750" s="9"/>
      <c r="U1750" s="9"/>
      <c r="V1750" s="9"/>
      <c r="W1750" s="9"/>
      <c r="X1750" s="9"/>
    </row>
    <row r="1751" spans="1:24">
      <c r="A1751" s="9"/>
      <c r="B1751" s="47" t="s">
        <v>51</v>
      </c>
      <c r="C1751" s="50" t="s">
        <v>32</v>
      </c>
      <c r="D1751" s="40" t="str">
        <f>SUMIF($C$2:$C$1737,"特技派遣機関ﾌｨｰ受入",$D$2:$D$1737)</f>
        <v>0</v>
      </c>
      <c r="E1751" s="37" t="str">
        <f>_xlfn.SUMIFS($D$1:$D$1731,$C$1:$C$1731,"特技派遣機関ﾌｨｰ受入",$O$1:$O$1731,"八重洲")</f>
        <v>0</v>
      </c>
      <c r="F1751" s="37" t="str">
        <f>_xlfn.SUMIFS($D$1:$D$1731,$C$1:$C$1731,"特技派遣機関ﾌｨｰ受入",$O$1:$O$1731,"滋賀")</f>
        <v>0</v>
      </c>
      <c r="G1751" s="37" t="str">
        <f>_xlfn.SUMIFS($D$1:$D$1731,$C$1:$C$1731,"特技派遣機関ﾌｨｰ受入",$O$1:$O$1731,"神戸")</f>
        <v>0</v>
      </c>
      <c r="H1751" s="37" t="str">
        <f>_xlfn.SUMIFS($D$1:$D$1731,$C$1:$C$1731,"特技派遣機関ﾌｨｰ受入",$O$1:$O$1731,"名古屋")</f>
        <v>0</v>
      </c>
      <c r="I1751" s="37" t="str">
        <f>_xlfn.SUMIFS($D$1:$D$1731,$C$1:$C$1731,"特技派遣機関ﾌｨｰ受入",$O$1:$O$1731,"福岡(宮崎)")</f>
        <v>0</v>
      </c>
      <c r="J1751" s="37" t="str">
        <f>_xlfn.SUMIFS($D$1:$D$1731,$C$1:$C$1731,"特技派遣機関ﾌｨｰ受入",$O$1:$O$1731,"仙台")</f>
        <v>0</v>
      </c>
      <c r="K1751" s="37" t="str">
        <f>_xlfn.SUMIFS($D$1:$D$1731,$C$1:$C$1731,"特技派遣機関ﾌｨｰ受入",$O$1:$O$1731,"本部")</f>
        <v>0</v>
      </c>
      <c r="L1751" s="37" t="str">
        <f>_xlfn.SUMIFS($D$1:$D$1731,$C$1:$C$1731,"特技派遣機関ﾌｨｰ受入",$O$1:$O$1731,"札幌")</f>
        <v>0</v>
      </c>
      <c r="M1751" s="32">
        <v>2666326</v>
      </c>
      <c r="N1751" s="10"/>
      <c r="O1751" s="9"/>
      <c r="P1751" s="32" t="str">
        <f>D1751-M1751</f>
        <v>0</v>
      </c>
      <c r="Q1751" s="9"/>
      <c r="R1751" s="9"/>
      <c r="S1751" s="10"/>
      <c r="T1751" s="9"/>
      <c r="U1751" s="9"/>
      <c r="V1751" s="9"/>
      <c r="W1751" s="9"/>
      <c r="X1751" s="9"/>
    </row>
    <row r="1752" spans="1:24">
      <c r="A1752" s="34"/>
      <c r="B1752" s="47" t="s">
        <v>51</v>
      </c>
      <c r="C1752" s="50" t="s">
        <v>88</v>
      </c>
      <c r="D1752" s="40" t="str">
        <f>SUMIF($C$2:$C$1737,"共同情報提供料受入",$D$2:$D$1737)</f>
        <v>0</v>
      </c>
      <c r="E1752" s="37" t="str">
        <f>_xlfn.SUMIFS($D$1:$D$1731,$C$1:$C$1731,"共同情報提供料受入",$O$1:$O$1731,"八重洲")</f>
        <v>0</v>
      </c>
      <c r="F1752" s="37" t="str">
        <f>_xlfn.SUMIFS($D$1:$D$1731,$C$1:$C$1731,"共同情報提供料受入",$O$1:$O$1731,"滋賀")</f>
        <v>0</v>
      </c>
      <c r="G1752" s="37" t="str">
        <f>_xlfn.SUMIFS($D$1:$D$1731,$C$1:$C$1731,"共同情報提供料受入",$O$1:$O$1731,"神戸")</f>
        <v>0</v>
      </c>
      <c r="H1752" s="37" t="str">
        <f>_xlfn.SUMIFS($D$1:$D$1731,$C$1:$C$1731,"共同情報提供料受入",$O$1:$O$1731,"名古屋")</f>
        <v>0</v>
      </c>
      <c r="I1752" s="37" t="str">
        <f>_xlfn.SUMIFS($D$1:$D$1731,$C$1:$C$1731,"共同情報提供料受入",$O$1:$O$1731,"福岡(宮崎)")</f>
        <v>0</v>
      </c>
      <c r="J1752" s="37" t="str">
        <f>_xlfn.SUMIFS($D$1:$D$1731,$C$1:$C$1731,"共同情報提供料受入",$O$1:$O$1731,"仙台")</f>
        <v>0</v>
      </c>
      <c r="K1752" s="37" t="str">
        <f>_xlfn.SUMIFS($D$1:$D$1731,$C$1:$C$1731,"共同情報提供料受入",$O$1:$O$1731,"本部")</f>
        <v>0</v>
      </c>
      <c r="L1752" s="37" t="str">
        <f>_xlfn.SUMIFS($D$1:$D$1731,$C$1:$C$1731,"共同情報提供料受入",$O$1:$O$1731,"札幌")</f>
        <v>0</v>
      </c>
      <c r="M1752" s="32">
        <v>190000</v>
      </c>
      <c r="N1752" s="10"/>
      <c r="O1752" s="9"/>
      <c r="P1752" s="32" t="str">
        <f>D1752-M1752</f>
        <v>0</v>
      </c>
      <c r="Q1752" s="33"/>
      <c r="R1752" s="9"/>
      <c r="S1752" s="10"/>
      <c r="T1752" s="9"/>
      <c r="U1752" s="9"/>
      <c r="V1752" s="9"/>
      <c r="W1752" s="9"/>
      <c r="X1752" s="9"/>
    </row>
    <row r="1753" spans="1:24">
      <c r="A1753" s="34"/>
      <c r="B1753" s="51"/>
      <c r="C1753" s="9"/>
      <c r="D1753" s="46"/>
      <c r="E1753" s="14"/>
      <c r="F1753" s="14"/>
      <c r="G1753" s="14"/>
      <c r="H1753" s="14"/>
      <c r="I1753" s="14"/>
      <c r="J1753" s="14"/>
      <c r="K1753" s="21"/>
      <c r="L1753" s="14"/>
      <c r="M1753" s="32"/>
      <c r="N1753" s="10"/>
      <c r="O1753" s="9"/>
      <c r="P1753" s="32"/>
      <c r="Q1753" s="33"/>
      <c r="R1753" s="9"/>
      <c r="S1753" s="10"/>
      <c r="T1753" s="9"/>
      <c r="U1753" s="9"/>
      <c r="V1753" s="9"/>
      <c r="W1753" s="9"/>
      <c r="X1753" s="9"/>
    </row>
    <row r="1754" spans="1:24">
      <c r="A1754" s="27" t="s">
        <v>87</v>
      </c>
      <c r="B1754" s="52"/>
      <c r="C1754" s="28"/>
      <c r="D1754" s="29" t="str">
        <f>SUM(D1755:D1796)</f>
        <v>0</v>
      </c>
      <c r="E1754" s="14"/>
      <c r="F1754" s="14"/>
      <c r="G1754" s="14"/>
      <c r="H1754" s="14"/>
      <c r="I1754" s="14"/>
      <c r="J1754" s="14"/>
      <c r="K1754" s="21"/>
      <c r="L1754" s="14"/>
      <c r="M1754" s="32">
        <v>23100981</v>
      </c>
      <c r="N1754" s="10"/>
      <c r="O1754" s="9"/>
      <c r="P1754" s="32" t="str">
        <f>D1754-M1754</f>
        <v>0</v>
      </c>
      <c r="Q1754" s="33"/>
      <c r="R1754" s="9"/>
      <c r="S1754" s="10"/>
      <c r="T1754" s="9"/>
      <c r="U1754" s="9"/>
      <c r="V1754" s="9"/>
      <c r="W1754" s="9"/>
      <c r="X1754" s="9"/>
    </row>
    <row r="1755" spans="1:24">
      <c r="A1755" s="34" t="s">
        <v>86</v>
      </c>
      <c r="B1755" s="51"/>
      <c r="C1755" s="28" t="s">
        <v>85</v>
      </c>
      <c r="D1755" s="29" t="str">
        <f>SUMIF($C$2:$C$1737,"立替金",$D$2:$D$1737)</f>
        <v>0</v>
      </c>
      <c r="E1755" s="14"/>
      <c r="F1755" s="14"/>
      <c r="G1755" s="14"/>
      <c r="H1755" s="14"/>
      <c r="I1755" s="14"/>
      <c r="J1755" s="14"/>
      <c r="K1755" s="21"/>
      <c r="L1755" s="14"/>
      <c r="M1755" s="32">
        <v>470816</v>
      </c>
      <c r="N1755" s="10"/>
      <c r="O1755" s="9"/>
      <c r="P1755" s="32" t="str">
        <f>D1755-M1755</f>
        <v>0</v>
      </c>
      <c r="Q1755" s="9"/>
      <c r="R1755" s="9"/>
      <c r="S1755" s="10"/>
      <c r="T1755" s="9"/>
      <c r="U1755" s="9"/>
      <c r="V1755" s="9"/>
      <c r="W1755" s="9"/>
      <c r="X1755" s="9"/>
    </row>
    <row r="1756" spans="1:24">
      <c r="A1756" s="34"/>
      <c r="B1756" s="51"/>
      <c r="C1756" s="39" t="s">
        <v>84</v>
      </c>
      <c r="D1756" s="40" t="str">
        <f>SUMIF($C$2:$C$1737,"その他　受入",$D$2:$D$1737)</f>
        <v>0</v>
      </c>
      <c r="E1756" s="14"/>
      <c r="F1756" s="14"/>
      <c r="G1756" s="14"/>
      <c r="H1756" s="14"/>
      <c r="I1756" s="14"/>
      <c r="J1756" s="14"/>
      <c r="K1756" s="21"/>
      <c r="L1756" s="14"/>
      <c r="M1756" s="32">
        <v>0</v>
      </c>
      <c r="N1756" s="10"/>
      <c r="O1756" s="9"/>
      <c r="P1756" s="32" t="str">
        <f>D1756-M1756</f>
        <v>0</v>
      </c>
      <c r="Q1756" s="9"/>
      <c r="R1756" s="9"/>
      <c r="S1756" s="10"/>
      <c r="T1756" s="9"/>
      <c r="U1756" s="9"/>
      <c r="V1756" s="9"/>
      <c r="W1756" s="9"/>
      <c r="X1756" s="9"/>
    </row>
    <row r="1757" spans="1:24">
      <c r="A1757" s="10" t="str">
        <f>D4-D1741-D1748-D1754</f>
        <v>0</v>
      </c>
      <c r="B1757" s="51"/>
      <c r="C1757" s="39" t="s">
        <v>83</v>
      </c>
      <c r="D1757" s="40" t="str">
        <f>SUMIF($C$2:$C$1737,"集合研修費受入",$D$2:$D$1737)</f>
        <v>0</v>
      </c>
      <c r="E1757" s="14"/>
      <c r="F1757" s="14"/>
      <c r="G1757" s="14"/>
      <c r="H1757" s="14"/>
      <c r="I1757" s="14"/>
      <c r="J1757" s="14"/>
      <c r="K1757" s="21"/>
      <c r="L1757" s="14"/>
      <c r="M1757" s="32">
        <v>0</v>
      </c>
      <c r="N1757" s="10"/>
      <c r="O1757" s="9"/>
      <c r="P1757" s="32" t="str">
        <f>D1757-M1757</f>
        <v>0</v>
      </c>
      <c r="Q1757" s="9"/>
      <c r="R1757" s="9"/>
      <c r="S1757" s="10"/>
      <c r="T1757" s="9"/>
      <c r="U1757" s="9"/>
      <c r="V1757" s="9"/>
      <c r="W1757" s="9"/>
      <c r="X1757" s="9"/>
    </row>
    <row r="1758" spans="1:24">
      <c r="A1758" s="9"/>
      <c r="B1758" s="47" t="s">
        <v>51</v>
      </c>
      <c r="C1758" s="53" t="s">
        <v>82</v>
      </c>
      <c r="D1758" s="40" t="str">
        <f>SUMIF($C$2:$C$1737,"JITCO入管手続料受入",$D$2:$D$1737)</f>
        <v>0</v>
      </c>
      <c r="E1758" s="37" t="str">
        <f>_xlfn.SUMIFS($D$1:$D$1731,$C$1:$C$1731,"JITCO入管手続料受入",$O$1:$O$1731,"八重洲")</f>
        <v>0</v>
      </c>
      <c r="F1758" s="37" t="str">
        <f>_xlfn.SUMIFS($D$1:$D$1731,$C$1:$C$1731,"JITCO入管手続料受入",$O$1:$O$1731,"滋賀")</f>
        <v>0</v>
      </c>
      <c r="G1758" s="37" t="str">
        <f>_xlfn.SUMIFS($D$1:$D$1731,$C$1:$C$1731,"JITCO入管手続料受入",$O$1:$O$1731,"神戸")</f>
        <v>0</v>
      </c>
      <c r="H1758" s="37" t="str">
        <f>_xlfn.SUMIFS($D$1:$D$1731,$C$1:$C$1731,"JITCO入管手続料受入",$O$1:$O$1731,"名古屋")</f>
        <v>0</v>
      </c>
      <c r="I1758" s="37" t="str">
        <f>_xlfn.SUMIFS($D$1:$D$1731,$C$1:$C$1731,"JITCO入管手続料受入",$O$1:$O$1731,"福岡(宮崎)")</f>
        <v>0</v>
      </c>
      <c r="J1758" s="37" t="str">
        <f>_xlfn.SUMIFS($D$1:$D$1731,$C$1:$C$1731,"JITCO入管手続料受入",$O$1:$O$1731,"仙台")</f>
        <v>0</v>
      </c>
      <c r="K1758" s="37" t="str">
        <f>_xlfn.SUMIFS($D$1:$D$1731,$C$1:$C$1731,"JITCO入管手続料受入",$O$1:$O$1731,"本部")</f>
        <v>0</v>
      </c>
      <c r="L1758" s="37" t="str">
        <f>_xlfn.SUMIFS($D$1:$D$1731,$C$1:$C$1731,"JITCO入管手続料受入",$O$1:$O$1731,"札幌")</f>
        <v>0</v>
      </c>
      <c r="M1758" s="32">
        <v>586100</v>
      </c>
      <c r="N1758" s="10"/>
      <c r="O1758" s="9"/>
      <c r="P1758" s="32" t="str">
        <f>D1758-M1758</f>
        <v>0</v>
      </c>
      <c r="Q1758" s="9"/>
      <c r="R1758" s="9"/>
      <c r="S1758" s="10"/>
      <c r="T1758" s="9"/>
      <c r="U1758" s="9"/>
      <c r="V1758" s="9"/>
      <c r="W1758" s="9"/>
      <c r="X1758" s="9"/>
    </row>
    <row r="1759" spans="1:24">
      <c r="A1759" s="9"/>
      <c r="B1759" s="47" t="s">
        <v>51</v>
      </c>
      <c r="C1759" s="53" t="s">
        <v>81</v>
      </c>
      <c r="D1759" s="40" t="str">
        <f>SUMIF($C$2:$C$1737,"JITCO入管手続料受入　印紙",$D$2:$D$1737)</f>
        <v>0</v>
      </c>
      <c r="E1759" s="37" t="str">
        <f>_xlfn.SUMIFS($D$1:$D$1731,$C$1:$C$1731,"JITCO入管手続料受入　印紙",$O$1:$O$1731,"八重洲")</f>
        <v>0</v>
      </c>
      <c r="F1759" s="37" t="str">
        <f>_xlfn.SUMIFS($D$1:$D$1731,$C$1:$C$1731,"JITCO入管手続料受入　印紙",$O$1:$O$1731,"滋賀")</f>
        <v>0</v>
      </c>
      <c r="G1759" s="37" t="str">
        <f>_xlfn.SUMIFS($D$1:$D$1731,$C$1:$C$1731,"JITCO入管手続料受入　印紙",$O$1:$O$1731,"神戸")</f>
        <v>0</v>
      </c>
      <c r="H1759" s="37" t="str">
        <f>_xlfn.SUMIFS($D$1:$D$1731,$C$1:$C$1731,"JITCO入管手続料受入　印紙",$O$1:$O$1731,"名古屋")</f>
        <v>0</v>
      </c>
      <c r="I1759" s="37" t="str">
        <f>_xlfn.SUMIFS($D$1:$D$1731,$C$1:$C$1731,"JITCO入管手続料受入　印紙",$O$1:$O$1731,"福岡(宮崎)")</f>
        <v>0</v>
      </c>
      <c r="J1759" s="37" t="str">
        <f>_xlfn.SUMIFS($D$1:$D$1731,$C$1:$C$1731,"JITCO入管手続料受入　印紙",$O$1:$O$1731,"仙台")</f>
        <v>0</v>
      </c>
      <c r="K1759" s="37" t="str">
        <f>_xlfn.SUMIFS($D$1:$D$1731,$C$1:$C$1731,"JITCO入管手続料受入　印紙",$O$1:$O$1731,"本部")</f>
        <v>0</v>
      </c>
      <c r="L1759" s="37" t="str">
        <f>_xlfn.SUMIFS($D$1:$D$1731,$C$1:$C$1731,"JITCO入管手続料受入　印紙",$O$1:$O$1731,"札幌")</f>
        <v>0</v>
      </c>
      <c r="M1759" s="32"/>
      <c r="N1759" s="10"/>
      <c r="O1759" s="9"/>
      <c r="P1759" s="32"/>
      <c r="Q1759" s="9"/>
      <c r="R1759" s="9"/>
      <c r="S1759" s="10"/>
      <c r="T1759" s="9"/>
      <c r="U1759" s="9"/>
      <c r="V1759" s="9"/>
      <c r="W1759" s="9"/>
      <c r="X1759" s="9"/>
    </row>
    <row r="1760" spans="1:24">
      <c r="A1760" s="9"/>
      <c r="B1760" s="49"/>
      <c r="C1760" s="39" t="s">
        <v>80</v>
      </c>
      <c r="D1760" s="40" t="str">
        <f>SUMIF($C$2:$C$1737,"建設JITCO入管手続料受入",$D$2:$D$1737)</f>
        <v>0</v>
      </c>
      <c r="E1760" s="3" t="str">
        <f>_xlfn.SUMIFS($D$1:$D$1731,$C$1:$C$1731,"建設JITCO入管手続料受入",$P$1:$P$1731,"八重洲")</f>
        <v>0</v>
      </c>
      <c r="F1760" s="3" t="str">
        <f>_xlfn.SUMIFS($D$1:$D$1731,$C$1:$C$1731,"建設JITCO入管手続料受入",$P$1:$P$1731,"滋賀")</f>
        <v>0</v>
      </c>
      <c r="G1760" s="3" t="str">
        <f>_xlfn.SUMIFS($D$1:$D$1731,$C$1:$C$1731,"建設JITCO入管手続料受入",$P$1:$P$1731,"神戸")</f>
        <v>0</v>
      </c>
      <c r="H1760" s="3" t="str">
        <f>_xlfn.SUMIFS($D$1:$D$1731,$C$1:$C$1731,"建設JITCO入管手続料受入",$P$1:$P$1731,"名古屋")</f>
        <v>0</v>
      </c>
      <c r="I1760" s="3" t="str">
        <f>_xlfn.SUMIFS($D$1:$D$1731,$C$1:$C$1731,"建設JITCO入管手続料受入",$P$1:$P$1731,"宮崎")</f>
        <v>0</v>
      </c>
      <c r="J1760" s="3" t="str">
        <f>_xlfn.SUMIFS($D$1:$D$1731,$C$1:$C$1731,"建設JITCO入管手続料受入",$P$1:$P$1731,"仙台")</f>
        <v>0</v>
      </c>
      <c r="K1760" s="3" t="str">
        <f>_xlfn.SUMIFS($D$1:$D$1731,$C$1:$C$1731,"建設JITCO入管手続料受入",$P$1:$P$1731,"本部")</f>
        <v>0</v>
      </c>
      <c r="L1760" s="3" t="str">
        <f>_xlfn.SUMIFS($D$1:$D$1731,$C$1:$C$1731,"建設JITCO入管手続料受入",$P$1:$P$1731,"札幌")</f>
        <v>0</v>
      </c>
      <c r="M1760" s="32">
        <v>0</v>
      </c>
      <c r="N1760" s="10"/>
      <c r="O1760" s="9"/>
      <c r="P1760" s="32" t="str">
        <f>D1760-M1760</f>
        <v>0</v>
      </c>
      <c r="Q1760" s="9"/>
      <c r="R1760" s="9"/>
      <c r="S1760" s="10"/>
      <c r="T1760" s="9"/>
      <c r="U1760" s="9"/>
      <c r="V1760" s="9"/>
      <c r="W1760" s="9"/>
      <c r="X1760" s="9"/>
    </row>
    <row r="1761" spans="1:24">
      <c r="A1761" s="9"/>
      <c r="B1761" s="47" t="s">
        <v>51</v>
      </c>
      <c r="C1761" s="53" t="s">
        <v>79</v>
      </c>
      <c r="D1761" s="40" t="str">
        <f>SUMIF($C$2:$C$1737,"JITCO年会費受入",$D$2:$D$1737)</f>
        <v>0</v>
      </c>
      <c r="E1761" s="37" t="str">
        <f>_xlfn.SUMIFS($D$1:$D$1731,$C$1:$C$1731,"JITCO年会費受入",$O$1:$O$1731,"八重洲")</f>
        <v>0</v>
      </c>
      <c r="F1761" s="37" t="str">
        <f>_xlfn.SUMIFS($D$1:$D$1731,$C$1:$C$1731,"JITCO年会費受入",$O$1:$O$1731,"滋賀")</f>
        <v>0</v>
      </c>
      <c r="G1761" s="37" t="str">
        <f>_xlfn.SUMIFS($D$1:$D$1731,$C$1:$C$1731,"JITCO年会費受入",$O$1:$O$1731,"神戸")</f>
        <v>0</v>
      </c>
      <c r="H1761" s="37" t="str">
        <f>_xlfn.SUMIFS($D$1:$D$1731,$C$1:$C$1731,"JITCO年会費受入",$O$1:$O$1731,"名古屋")</f>
        <v>0</v>
      </c>
      <c r="I1761" s="37" t="str">
        <f>_xlfn.SUMIFS($D$1:$D$1731,$C$1:$C$1731,"JITCO年会費受入",$O$1:$O$1731,"福岡(宮崎)")</f>
        <v>0</v>
      </c>
      <c r="J1761" s="37" t="str">
        <f>_xlfn.SUMIFS($D$1:$D$1731,$C$1:$C$1731,"JITCO年会費受入",$O$1:$O$1731,"仙台")</f>
        <v>0</v>
      </c>
      <c r="K1761" s="37" t="str">
        <f>_xlfn.SUMIFS($D$1:$D$1731,$C$1:$C$1731,"JITCO年会費受入",$O$1:$O$1731,"本部")</f>
        <v>0</v>
      </c>
      <c r="L1761" s="37" t="str">
        <f>_xlfn.SUMIFS($D$1:$D$1731,$C$1:$C$1731,"JITCO年会費受入",$O$1:$O$1731,"札幌")</f>
        <v>0</v>
      </c>
      <c r="M1761" s="32">
        <v>450000</v>
      </c>
      <c r="N1761" s="10"/>
      <c r="O1761" s="9"/>
      <c r="P1761" s="32" t="str">
        <f>D1761-M1761</f>
        <v>0</v>
      </c>
      <c r="Q1761" s="9"/>
      <c r="R1761" s="9"/>
      <c r="S1761" s="10"/>
      <c r="T1761" s="9"/>
      <c r="U1761" s="9"/>
      <c r="V1761" s="9"/>
      <c r="W1761" s="9"/>
      <c r="X1761" s="9"/>
    </row>
    <row r="1762" spans="1:24">
      <c r="A1762" s="9"/>
      <c r="B1762" s="49"/>
      <c r="C1762" s="39" t="s">
        <v>78</v>
      </c>
      <c r="D1762" s="40" t="str">
        <f>SUMIF($C$2:$C$1737,"JITCO保険料受入",$D$2:$D$1737)</f>
        <v>0</v>
      </c>
      <c r="E1762" s="37" t="str">
        <f>_xlfn.SUMIFS($D$1:$D$1731,$C$1:$C$1731,"JITCO保険料受入",$O$1:$O$1731,"八重洲")</f>
        <v>0</v>
      </c>
      <c r="F1762" s="37" t="str">
        <f>_xlfn.SUMIFS($D$1:$D$1731,$C$1:$C$1731,"JITCO保険料受入",$O$1:$O$1731,"滋賀")</f>
        <v>0</v>
      </c>
      <c r="G1762" s="37" t="str">
        <f>_xlfn.SUMIFS($D$1:$D$1731,$C$1:$C$1731,"JITCO保険料受入",$O$1:$O$1731,"神戸")</f>
        <v>0</v>
      </c>
      <c r="H1762" s="37" t="str">
        <f>_xlfn.SUMIFS($D$1:$D$1731,$C$1:$C$1731,"JITCO保険料受入",$O$1:$O$1731,"名古屋")</f>
        <v>0</v>
      </c>
      <c r="I1762" s="37" t="str">
        <f>_xlfn.SUMIFS($D$1:$D$1731,$C$1:$C$1731,"JITCO保険料受入",$O$1:$O$1731,"福岡(宮崎)")</f>
        <v>0</v>
      </c>
      <c r="J1762" s="37" t="str">
        <f>_xlfn.SUMIFS($D$1:$D$1731,$C$1:$C$1731,"JITCO保険料受入",$O$1:$O$1731,"仙台")</f>
        <v>0</v>
      </c>
      <c r="K1762" s="37" t="str">
        <f>_xlfn.SUMIFS($D$1:$D$1731,$C$1:$C$1731,"JITCO保険料受入",$O$1:$O$1731,"本部")</f>
        <v>0</v>
      </c>
      <c r="L1762" s="37" t="str">
        <f>_xlfn.SUMIFS($D$1:$D$1731,$C$1:$C$1731,"JITCO保険料受入",$O$1:$O$1731,"札幌")</f>
        <v>0</v>
      </c>
      <c r="M1762" s="32">
        <v>0</v>
      </c>
      <c r="N1762" s="10"/>
      <c r="O1762" s="9"/>
      <c r="P1762" s="32" t="str">
        <f>D1762-M1762</f>
        <v>0</v>
      </c>
      <c r="Q1762" s="9"/>
      <c r="R1762" s="9"/>
      <c r="S1762" s="10"/>
      <c r="T1762" s="9"/>
      <c r="U1762" s="9"/>
      <c r="V1762" s="9"/>
      <c r="W1762" s="9"/>
      <c r="X1762" s="9"/>
    </row>
    <row r="1763" spans="1:24">
      <c r="A1763" s="9"/>
      <c r="B1763" s="47" t="s">
        <v>51</v>
      </c>
      <c r="C1763" s="53" t="s">
        <v>77</v>
      </c>
      <c r="D1763" s="40" t="str">
        <f>SUMIF($C$2:$C$1737,"NBCC保険料受入",$D$2:$D$1737)</f>
        <v>0</v>
      </c>
      <c r="E1763" s="37" t="str">
        <f>_xlfn.SUMIFS($D$1:$D$1731,$C$1:$C$1731,"NBCC保険料受入",$O$1:$O$1731,"八重洲")</f>
        <v>0</v>
      </c>
      <c r="F1763" s="37" t="str">
        <f>_xlfn.SUMIFS($D$1:$D$1731,$C$1:$C$1731,"NBCC保険料受入",$O$1:$O$1731,"滋賀")</f>
        <v>0</v>
      </c>
      <c r="G1763" s="37" t="str">
        <f>_xlfn.SUMIFS($D$1:$D$1731,$C$1:$C$1731,"NBCC保険料受入",$O$1:$O$1731,"神戸")</f>
        <v>0</v>
      </c>
      <c r="H1763" s="37" t="str">
        <f>_xlfn.SUMIFS($D$1:$D$1731,$C$1:$C$1731,"NBCC保険料受入",$O$1:$O$1731,"名古屋")</f>
        <v>0</v>
      </c>
      <c r="I1763" s="37" t="str">
        <f>_xlfn.SUMIFS($D$1:$D$1731,$C$1:$C$1731,"NBCC保険料受入",$O$1:$O$1731,"福岡(宮崎)")</f>
        <v>0</v>
      </c>
      <c r="J1763" s="37" t="str">
        <f>_xlfn.SUMIFS($D$1:$D$1731,$C$1:$C$1731,"NBCC保険料受入",$O$1:$O$1731,"仙台")</f>
        <v>0</v>
      </c>
      <c r="K1763" s="37" t="str">
        <f>_xlfn.SUMIFS($D$1:$D$1731,$C$1:$C$1731,"NBCC保険料受入",$O$1:$O$1731,"本部")</f>
        <v>0</v>
      </c>
      <c r="L1763" s="37" t="str">
        <f>_xlfn.SUMIFS($D$1:$D$1731,$C$1:$C$1731,"NBCC保険料受入",$O$1:$O$1731,"札幌")</f>
        <v>0</v>
      </c>
      <c r="M1763" s="32">
        <v>747410</v>
      </c>
      <c r="N1763" s="10"/>
      <c r="O1763" s="9"/>
      <c r="P1763" s="32" t="str">
        <f>D1763-M1763</f>
        <v>0</v>
      </c>
      <c r="Q1763" s="9"/>
      <c r="R1763" s="9"/>
      <c r="S1763" s="10"/>
      <c r="T1763" s="9"/>
      <c r="U1763" s="9"/>
      <c r="V1763" s="9"/>
      <c r="W1763" s="9"/>
      <c r="X1763" s="9"/>
    </row>
    <row r="1764" spans="1:24">
      <c r="A1764" s="9"/>
      <c r="B1764" s="49"/>
      <c r="C1764" s="39" t="s">
        <v>76</v>
      </c>
      <c r="D1764" s="40" t="str">
        <f>SUMIF($C$2:$C$1737,"建設JITCO保険料受入",$D$2:$D$1737)</f>
        <v>0</v>
      </c>
      <c r="E1764" s="3" t="str">
        <f>_xlfn.SUMIFS($D$1:$D$1731,$C$1:$C$1731,"建設JITCO保険料受入",$P$1:$P$1731,"八重洲")</f>
        <v>0</v>
      </c>
      <c r="F1764" s="3" t="str">
        <f>_xlfn.SUMIFS($D$1:$D$1731,$C$1:$C$1731,"建設JITCO保険料受入",$P$1:$P$1731,"滋賀")</f>
        <v>0</v>
      </c>
      <c r="G1764" s="3" t="str">
        <f>_xlfn.SUMIFS($D$1:$D$1731,$C$1:$C$1731,"建設JITCO保険料受入",$P$1:$P$1731,"神戸")</f>
        <v>0</v>
      </c>
      <c r="H1764" s="3" t="str">
        <f>_xlfn.SUMIFS($D$1:$D$1731,$C$1:$C$1731,"建設JITCO保険料受入",$P$1:$P$1731,"名古屋")</f>
        <v>0</v>
      </c>
      <c r="I1764" s="3" t="str">
        <f>_xlfn.SUMIFS($D$1:$D$1731,$C$1:$C$1731,"建設JITCO保険料受入",$P$1:$P$1731,"宮崎")</f>
        <v>0</v>
      </c>
      <c r="J1764" s="3" t="str">
        <f>_xlfn.SUMIFS($D$1:$D$1731,$C$1:$C$1731,"建設JITCO保険料受入",$P$1:$P$1731,"仙台")</f>
        <v>0</v>
      </c>
      <c r="K1764" s="19" t="str">
        <f>_xlfn.SUMIFS($D$1:$D$1731,$C$1:$C$1731,"建設JITCO保険料受入",$P$1:$P$1731,"本部")</f>
        <v>0</v>
      </c>
      <c r="L1764" s="3" t="str">
        <f>_xlfn.SUMIFS($D$1:$D$1731,$C$1:$C$1731,"建設JITCO保険料受入",$P$1:$P$1731,"札幌")</f>
        <v>0</v>
      </c>
      <c r="M1764" s="32">
        <v>0</v>
      </c>
      <c r="N1764" s="10"/>
      <c r="O1764" s="9"/>
      <c r="P1764" s="32" t="str">
        <f>D1764-M1764</f>
        <v>0</v>
      </c>
      <c r="Q1764" s="9"/>
      <c r="R1764" s="9"/>
      <c r="S1764" s="10"/>
      <c r="T1764" s="9"/>
      <c r="U1764" s="9"/>
      <c r="V1764" s="9"/>
      <c r="W1764" s="9"/>
      <c r="X1764" s="9"/>
    </row>
    <row r="1765" spans="1:24">
      <c r="A1765" s="9"/>
      <c r="B1765" s="49"/>
      <c r="C1765" s="39" t="s">
        <v>75</v>
      </c>
      <c r="D1765" s="40" t="str">
        <f>SUMIF($C$2:$C$1737,"建設NBCC保険料受入",$D$2:$D$1737)</f>
        <v>0</v>
      </c>
      <c r="E1765" s="3" t="str">
        <f>_xlfn.SUMIFS($D$1:$D$1731,$C$1:$C$1731,"建設NBCC保険料受入",$O$1:$O$1731,"八重洲")</f>
        <v>0</v>
      </c>
      <c r="F1765" s="3" t="str">
        <f>_xlfn.SUMIFS($D$1:$D$1731,$C$1:$C$1731,"建設NBCC保険料受入",$O$1:$O$1731,"滋賀")</f>
        <v>0</v>
      </c>
      <c r="G1765" s="3" t="str">
        <f>_xlfn.SUMIFS($D$1:$D$1731,$C$1:$C$1731,"建設NBCC保険料受入",$O$1:$O$1731,"神戸")</f>
        <v>0</v>
      </c>
      <c r="H1765" s="3" t="str">
        <f>_xlfn.SUMIFS($D$1:$D$1731,$C$1:$C$1731,"N建設NBCC保険料受入",$O$1:$O$1731,"名古屋")</f>
        <v>0</v>
      </c>
      <c r="I1765" s="3" t="str">
        <f>_xlfn.SUMIFS($D$1:$D$1731,$C$1:$C$1731,"建設NBCC保険料受入",$O$1:$O$1731,"宮崎")</f>
        <v>0</v>
      </c>
      <c r="J1765" s="3" t="str">
        <f>_xlfn.SUMIFS($D$1:$D$1731,$C$1:$C$1731,"建設NBCC保険料受入",$O$1:$O$1731,"仙台")</f>
        <v>0</v>
      </c>
      <c r="K1765" s="3" t="str">
        <f>_xlfn.SUMIFS($D$1:$D$1731,$C$1:$C$1731,"建設NBCC保険料受入",$O$1:$O$1731,"本部")</f>
        <v>0</v>
      </c>
      <c r="L1765" s="3" t="str">
        <f>_xlfn.SUMIFS($D$1:$D$1731,$C$1:$C$1731,"建設NBCC保険料受入",$O$1:$O$1731,"札幌")</f>
        <v>0</v>
      </c>
      <c r="M1765" s="32">
        <v>0</v>
      </c>
      <c r="N1765" s="10"/>
      <c r="O1765" s="9"/>
      <c r="P1765" s="32" t="str">
        <f>D1765-M1765</f>
        <v>0</v>
      </c>
      <c r="Q1765" s="9"/>
      <c r="R1765" s="9"/>
      <c r="S1765" s="10"/>
      <c r="T1765" s="9"/>
      <c r="U1765" s="9"/>
      <c r="V1765" s="9"/>
      <c r="W1765" s="9"/>
      <c r="X1765" s="9"/>
    </row>
    <row r="1766" spans="1:24">
      <c r="A1766" s="9"/>
      <c r="B1766" s="47" t="s">
        <v>51</v>
      </c>
      <c r="C1766" s="53" t="s">
        <v>74</v>
      </c>
      <c r="D1766" s="40" t="str">
        <f>SUMIF($C$2:$C$1737,"特技NBCC保険料受入",$D$2:$D$1737)</f>
        <v>0</v>
      </c>
      <c r="E1766" s="37" t="str">
        <f>_xlfn.SUMIFS($D$1:$D$1731,$C$1:$C$1731,"特技NBCC保険料受入",$O$1:$O$1731,"八重洲")</f>
        <v>0</v>
      </c>
      <c r="F1766" s="37" t="str">
        <f>_xlfn.SUMIFS($D$1:$D$1731,$C$1:$C$1731,"特技NBCC保険料受入",$O$1:$O$1731,"滋賀")</f>
        <v>0</v>
      </c>
      <c r="G1766" s="37" t="str">
        <f>_xlfn.SUMIFS($D$1:$D$1731,$C$1:$C$1731,"特技NBCC保険料受入",$O$1:$O$1731,"神戸")</f>
        <v>0</v>
      </c>
      <c r="H1766" s="37" t="str">
        <f>_xlfn.SUMIFS($D$1:$D$1731,$C$1:$C$1731,"特技NBCC保険料受入",$O$1:$O$1731,"名古屋")</f>
        <v>0</v>
      </c>
      <c r="I1766" s="37" t="str">
        <f>_xlfn.SUMIFS($D$1:$D$1731,$C$1:$C$1731,"特技NBCC保険料受入",$O$1:$O$1731,"福岡(宮崎)")</f>
        <v>0</v>
      </c>
      <c r="J1766" s="37" t="str">
        <f>_xlfn.SUMIFS($D$1:$D$1731,$C$1:$C$1731,"特技NBCC保険料受入",$O$1:$O$1731,"仙台")</f>
        <v>0</v>
      </c>
      <c r="K1766" s="37" t="str">
        <f>_xlfn.SUMIFS($D$1:$D$1731,$C$1:$C$1731,"特技NBCC保険料受入",$O$1:$O$1731,"本部")</f>
        <v>0</v>
      </c>
      <c r="L1766" s="37" t="str">
        <f>_xlfn.SUMIFS($D$1:$D$1731,$C$1:$C$1731,"特技NBCC保険料受入",$O$1:$O$1731,"札幌")</f>
        <v>0</v>
      </c>
      <c r="M1766" s="32">
        <v>354590</v>
      </c>
      <c r="N1766" s="10"/>
      <c r="O1766" s="9"/>
      <c r="P1766" s="32" t="str">
        <f>D1766-M1766</f>
        <v>0</v>
      </c>
      <c r="Q1766" s="9"/>
      <c r="R1766" s="9"/>
      <c r="S1766" s="10"/>
      <c r="T1766" s="9"/>
      <c r="U1766" s="9"/>
      <c r="V1766" s="9"/>
      <c r="W1766" s="9"/>
      <c r="X1766" s="9"/>
    </row>
    <row r="1767" spans="1:24">
      <c r="A1767" s="9"/>
      <c r="B1767" s="47" t="s">
        <v>51</v>
      </c>
      <c r="C1767" s="53" t="s">
        <v>73</v>
      </c>
      <c r="D1767" s="40" t="str">
        <f>SUMIF($C$2:$C$1737,"技検試験料受入",$D$2:$D$1737)</f>
        <v>0</v>
      </c>
      <c r="E1767" s="37" t="str">
        <f>_xlfn.SUMIFS($D$1:$D$1731,$C$1:$C$1731,"技検試験料受入",$O$1:$O$1731,"八重洲")</f>
        <v>0</v>
      </c>
      <c r="F1767" s="37" t="str">
        <f>_xlfn.SUMIFS($D$1:$D$1731,$C$1:$C$1731,"技検試験料受入",$O$1:$O$1731,"滋賀")</f>
        <v>0</v>
      </c>
      <c r="G1767" s="37" t="str">
        <f>_xlfn.SUMIFS($D$1:$D$1731,$C$1:$C$1731,"技検試験料受入",$O$1:$O$1731,"神戸")</f>
        <v>0</v>
      </c>
      <c r="H1767" s="37" t="str">
        <f>_xlfn.SUMIFS($D$1:$D$1731,$C$1:$C$1731,"技検試験料受入",$O$1:$O$1731,"名古屋")</f>
        <v>0</v>
      </c>
      <c r="I1767" s="37" t="str">
        <f>_xlfn.SUMIFS($D$1:$D$1731,$C$1:$C$1731,"技検試験料受入",$O$1:$O$1731,"福岡(宮崎)")</f>
        <v>0</v>
      </c>
      <c r="J1767" s="37" t="str">
        <f>_xlfn.SUMIFS($D$1:$D$1731,$C$1:$C$1731,"技検試験料受入",$O$1:$O$1731,"仙台")</f>
        <v>0</v>
      </c>
      <c r="K1767" s="37" t="str">
        <f>_xlfn.SUMIFS($D$1:$D$1731,$C$1:$C$1731,"技検試験料受入",$O$1:$O$1731,"本部")</f>
        <v>0</v>
      </c>
      <c r="L1767" s="37" t="str">
        <f>_xlfn.SUMIFS($D$1:$D$1731,$C$1:$C$1731,"技検試験料受入",$O$1:$O$1731,"札幌")</f>
        <v>0</v>
      </c>
      <c r="M1767" s="32">
        <v>1449360</v>
      </c>
      <c r="N1767" s="10"/>
      <c r="O1767" s="9"/>
      <c r="P1767" s="32" t="str">
        <f>D1767-M1767</f>
        <v>0</v>
      </c>
      <c r="Q1767" s="9"/>
      <c r="R1767" s="9"/>
      <c r="S1767" s="10"/>
      <c r="T1767" s="9"/>
      <c r="U1767" s="9"/>
      <c r="V1767" s="9"/>
      <c r="W1767" s="9"/>
      <c r="X1767" s="9"/>
    </row>
    <row r="1768" spans="1:24">
      <c r="A1768" s="9"/>
      <c r="B1768" s="49"/>
      <c r="C1768" s="39" t="s">
        <v>72</v>
      </c>
      <c r="D1768" s="40" t="str">
        <f>SUMIF($C$2:$C$1737,"未収入金",$D$2:$D$1737)</f>
        <v>0</v>
      </c>
      <c r="E1768" s="3" t="str">
        <f>_xlfn.SUMIFS($D$1:$D$1731,$C$1:$C$1731,"未収入金",$O$1:$O$1731,"八重洲")</f>
        <v>0</v>
      </c>
      <c r="F1768" s="14"/>
      <c r="G1768" s="14"/>
      <c r="H1768" s="14"/>
      <c r="I1768" s="14"/>
      <c r="J1768" s="14"/>
      <c r="K1768" s="21"/>
      <c r="L1768" s="14"/>
      <c r="M1768" s="32">
        <v>0</v>
      </c>
      <c r="N1768" s="10"/>
      <c r="O1768" s="9"/>
      <c r="P1768" s="32" t="str">
        <f>D1768-M1768</f>
        <v>0</v>
      </c>
      <c r="Q1768" s="9"/>
      <c r="R1768" s="9"/>
      <c r="S1768" s="10"/>
      <c r="T1768" s="9"/>
      <c r="U1768" s="9"/>
      <c r="V1768" s="9"/>
      <c r="W1768" s="9"/>
      <c r="X1768" s="9"/>
    </row>
    <row r="1769" spans="1:24">
      <c r="A1769" s="9"/>
      <c r="B1769" s="49"/>
      <c r="C1769" s="39" t="s">
        <v>71</v>
      </c>
      <c r="D1769" s="40" t="str">
        <f>SUMIF($C$2:$C$1737,"出資金",$D$2:$D$1737)</f>
        <v>0</v>
      </c>
      <c r="E1769" s="14"/>
      <c r="F1769" s="14"/>
      <c r="G1769" s="14"/>
      <c r="H1769" s="14"/>
      <c r="I1769" s="14"/>
      <c r="J1769" s="14"/>
      <c r="K1769" s="21"/>
      <c r="L1769" s="14"/>
      <c r="M1769" s="32">
        <v>0</v>
      </c>
      <c r="N1769" s="10"/>
      <c r="O1769" s="9"/>
      <c r="P1769" s="32" t="str">
        <f>D1769-M1769</f>
        <v>0</v>
      </c>
      <c r="Q1769" s="9"/>
      <c r="R1769" s="9"/>
      <c r="S1769" s="10"/>
      <c r="T1769" s="9"/>
      <c r="U1769" s="9"/>
      <c r="V1769" s="9"/>
      <c r="W1769" s="9"/>
      <c r="X1769" s="9"/>
    </row>
    <row r="1770" spans="1:24">
      <c r="A1770" s="9"/>
      <c r="B1770" s="49">
        <v>335</v>
      </c>
      <c r="C1770" s="39" t="s">
        <v>70</v>
      </c>
      <c r="D1770" s="40" t="str">
        <f>SUMIF($C$2:$C$1737,"仮受金",$D$2:$D$1737)</f>
        <v>0</v>
      </c>
      <c r="E1770" s="3" t="str">
        <f>_xlfn.SUMIFS($D$1:$D$1731,$C$1:$C$1731,"仮受金",$O$1:$O$1731,"八重洲")</f>
        <v>0</v>
      </c>
      <c r="F1770" s="3" t="str">
        <f>_xlfn.SUMIFS($D$1:$D$1731,$C$1:$C$1731,"仮受金",$P$1:$P$1731,"滋賀")</f>
        <v>0</v>
      </c>
      <c r="G1770" s="3" t="str">
        <f>_xlfn.SUMIFS($D$1:$D$1731,$C$1:$C$1731,"仮受金",$P$1:$P$1731,"神戸")</f>
        <v>0</v>
      </c>
      <c r="H1770" s="3" t="str">
        <f>_xlfn.SUMIFS($D$1:$D$1731,$C$1:$C$1731,"仮受金",$P$1:$P$1731,"名古屋")</f>
        <v>0</v>
      </c>
      <c r="I1770" s="3" t="str">
        <f>_xlfn.SUMIFS($D$1:$D$1731,$C$1:$C$1731,"仮受金",$P$1:$P$1731,"福岡(宮崎)")</f>
        <v>0</v>
      </c>
      <c r="J1770" s="3" t="str">
        <f>_xlfn.SUMIFS($D$1:$D$1731,$C$1:$C$1731,"仮受金",$P$1:$P$1731,"仙台")</f>
        <v>0</v>
      </c>
      <c r="K1770" s="3" t="str">
        <f>_xlfn.SUMIFS($D$1:$D$1731,$C$1:$C$1731,"仮受金",$P$1:$P$1731,"本部")</f>
        <v>0</v>
      </c>
      <c r="L1770" s="3" t="str">
        <f>_xlfn.SUMIFS($D$1:$D$1731,$C$1:$C$1731,"仮受金",$P$1:$P$1731,"札幌")</f>
        <v>0</v>
      </c>
      <c r="M1770" s="32">
        <v>550</v>
      </c>
      <c r="N1770" s="10"/>
      <c r="O1770" s="9"/>
      <c r="P1770" s="32" t="str">
        <f>D1770-M1770</f>
        <v>0</v>
      </c>
      <c r="Q1770" s="9"/>
      <c r="R1770" s="9"/>
      <c r="S1770" s="10"/>
      <c r="T1770" s="9"/>
      <c r="U1770" s="9"/>
      <c r="V1770" s="9"/>
      <c r="W1770" s="9"/>
      <c r="X1770" s="9"/>
    </row>
    <row r="1771" spans="1:24">
      <c r="A1771" s="9"/>
      <c r="B1771" s="49">
        <v>335</v>
      </c>
      <c r="C1771" s="39" t="s">
        <v>69</v>
      </c>
      <c r="D1771" s="40" t="str">
        <f>SUMIF($C$2:$C$1737,"講習手当",$D$2:$D$1737)</f>
        <v>0</v>
      </c>
      <c r="E1771" s="3" t="str">
        <f>_xlfn.SUMIFS($D$1:$D$1731,$C$1:$C$1731,"講習手当",$P$1:$P$1731,"八重洲")</f>
        <v>0</v>
      </c>
      <c r="F1771" s="3" t="str">
        <f>_xlfn.SUMIFS($D$1:$D$1731,$C$1:$C$1731,"講習手当",$P$1:$P$1731,"滋賀")</f>
        <v>0</v>
      </c>
      <c r="G1771" s="3" t="str">
        <f>_xlfn.SUMIFS($D$1:$D$1731,$C$1:$C$1731,"講習手当",$P$1:$P$1731,"神戸")</f>
        <v>0</v>
      </c>
      <c r="H1771" s="3" t="str">
        <f>_xlfn.SUMIFS($D$1:$D$1731,$C$1:$C$1731,"講習手当",$P$1:$P$1731,"名古屋")</f>
        <v>0</v>
      </c>
      <c r="I1771" s="3" t="str">
        <f>_xlfn.SUMIFS($D$1:$D$1731,$C$1:$C$1731,"講習手当",$P$1:$P$1731,"福岡(宮崎)")</f>
        <v>0</v>
      </c>
      <c r="J1771" s="3" t="str">
        <f>_xlfn.SUMIFS($D$1:$D$1731,$C$1:$C$1731,"講習手当",$P$1:$P$1731,"仙台")</f>
        <v>0</v>
      </c>
      <c r="K1771" s="3" t="str">
        <f>_xlfn.SUMIFS($D$1:$D$1731,$C$1:$C$1731,"講習手当",$P$1:$P$1731,"本部")</f>
        <v>0</v>
      </c>
      <c r="L1771" s="3" t="str">
        <f>_xlfn.SUMIFS($D$1:$D$1731,$C$1:$C$1731,"講習手当",$P$1:$P$1731,"札幌")</f>
        <v>0</v>
      </c>
      <c r="M1771" s="32">
        <v>2377000</v>
      </c>
      <c r="N1771" s="10"/>
      <c r="O1771" s="9"/>
      <c r="P1771" s="32" t="str">
        <f>D1771-M1771</f>
        <v>0</v>
      </c>
      <c r="Q1771" s="9"/>
      <c r="R1771" s="9"/>
      <c r="S1771" s="10"/>
      <c r="T1771" s="9"/>
      <c r="U1771" s="9"/>
      <c r="V1771" s="9"/>
      <c r="W1771" s="9"/>
      <c r="X1771" s="9"/>
    </row>
    <row r="1772" spans="1:24" customHeight="1" ht="24">
      <c r="A1772"/>
      <c r="B1772" s="54" t="s">
        <v>45</v>
      </c>
      <c r="C1772" s="41" t="s">
        <v>68</v>
      </c>
      <c r="D1772" s="40" t="str">
        <f>SUMIF($C$2:$C$1737,"職業紹介費",$D$2:$D$1737)</f>
        <v>0</v>
      </c>
      <c r="E1772" s="37" t="str">
        <f>_xlfn.SUMIFS($D$1:$D$1731,$C$1:$C$1731,"職業紹介費",$O$1:$O$1731,"八重洲")</f>
        <v>0</v>
      </c>
      <c r="F1772" s="37" t="str">
        <f>_xlfn.SUMIFS($D$1:$D$1731,$C$1:$C$1731,"職業紹介費",$O$1:$O$1731,"滋賀")</f>
        <v>0</v>
      </c>
      <c r="G1772" s="37" t="str">
        <f>_xlfn.SUMIFS($D$1:$D$1731,$C$1:$C$1731,"職業紹介費",$O$1:$O$1731,"神戸")</f>
        <v>0</v>
      </c>
      <c r="H1772" s="37" t="str">
        <f>_xlfn.SUMIFS($D$1:$D$1731,$C$1:$C$1731,"職業紹介費",$O$1:$O$1731,"名古屋")</f>
        <v>0</v>
      </c>
      <c r="I1772" s="37" t="str">
        <f>_xlfn.SUMIFS($D$1:$D$1731,$C$1:$C$1731,"職業紹介費",$O$1:$O$1731,"福岡(宮崎)")</f>
        <v>0</v>
      </c>
      <c r="J1772" s="37" t="str">
        <f>_xlfn.SUMIFS($D$1:$D$1731,$C$1:$C$1731,"職業紹介費",$O$1:$O$1731,"仙台")</f>
        <v>0</v>
      </c>
      <c r="K1772" s="37" t="str">
        <f>_xlfn.SUMIFS($D$1:$D$1731,$C$1:$C$1731,"職業紹介費",$O$1:$O$1731,"本部")</f>
        <v>0</v>
      </c>
      <c r="L1772" s="37" t="str">
        <f>_xlfn.SUMIFS($D$1:$D$1731,$C$1:$C$1731,"職業紹介費",$O$1:$O$1731,"札幌")</f>
        <v>0</v>
      </c>
      <c r="M1772" s="32">
        <v>0</v>
      </c>
      <c r="N1772"/>
      <c r="O1772"/>
      <c r="P1772" s="32" t="str">
        <f>D1772-M1772</f>
        <v>0</v>
      </c>
      <c r="Q1772"/>
      <c r="R1772"/>
      <c r="S1772"/>
      <c r="T1772"/>
      <c r="U1772"/>
      <c r="V1772"/>
      <c r="W1772"/>
      <c r="X1772"/>
    </row>
    <row r="1773" spans="1:24">
      <c r="A1773" s="9"/>
      <c r="B1773" s="49"/>
      <c r="C1773" s="39" t="s">
        <v>67</v>
      </c>
      <c r="D1773" s="40" t="str">
        <f>SUMIF($C$2:$C$1737,"その他　支払",$D$2:$D$1737)</f>
        <v>0</v>
      </c>
      <c r="E1773" s="3" t="str">
        <f>_xlfn.SUMIFS($D$1:$D$1731,$C$1:$C$1731,"職業紹介費",$P$1:$P$1731,"八重洲")</f>
        <v>0</v>
      </c>
      <c r="F1773" s="14"/>
      <c r="G1773" s="14"/>
      <c r="H1773" s="14"/>
      <c r="I1773" s="14"/>
      <c r="J1773" s="14"/>
      <c r="K1773" s="21"/>
      <c r="L1773" s="14"/>
      <c r="M1773" s="32">
        <v>0</v>
      </c>
      <c r="N1773" s="10"/>
      <c r="O1773" s="9"/>
      <c r="P1773" s="32" t="str">
        <f>D1773-M1773</f>
        <v>0</v>
      </c>
      <c r="Q1773" s="9"/>
      <c r="R1773" s="9"/>
      <c r="S1773" s="10"/>
      <c r="T1773" s="9"/>
      <c r="U1773" s="9"/>
      <c r="V1773" s="9"/>
      <c r="W1773" s="9"/>
      <c r="X1773" s="9"/>
    </row>
    <row r="1774" spans="1:24">
      <c r="A1774" s="9"/>
      <c r="B1774" s="49">
        <v>335</v>
      </c>
      <c r="C1774" s="39" t="s">
        <v>66</v>
      </c>
      <c r="D1774" s="40" t="str">
        <f>SUMIF($C$2:$C$1737,"入国前講習費",$D$2:$D$1737)</f>
        <v>0</v>
      </c>
      <c r="E1774" s="3" t="str">
        <f>_xlfn.SUMIFS($D$1:$D$1731,$C$1:$C$1731,"入国前講習費",$P$1:$P$1731,"八重洲")</f>
        <v>0</v>
      </c>
      <c r="F1774" s="3" t="str">
        <f>_xlfn.SUMIFS($D$1:$D$1731,$C$1:$C$1731,"入国前講習費",$P$1:$P$1731,"滋賀")</f>
        <v>0</v>
      </c>
      <c r="G1774" s="3" t="str">
        <f>_xlfn.SUMIFS($D$1:$D$1731,$C$1:$C$1731,"入国前講習費",$P$1:$P$1731,"神戸")</f>
        <v>0</v>
      </c>
      <c r="H1774" s="3" t="str">
        <f>_xlfn.SUMIFS($D$1:$D$1731,$C$1:$C$1731,"入国前講習費",$P$1:$P$1731,"名古屋")</f>
        <v>0</v>
      </c>
      <c r="I1774" s="3" t="str">
        <f>_xlfn.SUMIFS($D$1:$D$1731,$C$1:$C$1731,"入国前講習費",$P$1:$P$1731,"福岡(宮崎)")</f>
        <v>0</v>
      </c>
      <c r="J1774" s="3" t="str">
        <f>_xlfn.SUMIFS($D$1:$D$1731,$C$1:$C$1731,"入国前講習費",$P$1:$P$1731,"仙台")</f>
        <v>0</v>
      </c>
      <c r="K1774" s="3" t="str">
        <f>_xlfn.SUMIFS($D$1:$D$1731,$C$1:$C$1731,"入国前講習費",$P$1:$P$1731,"本部")</f>
        <v>0</v>
      </c>
      <c r="L1774" s="3" t="str">
        <f>_xlfn.SUMIFS($D$1:$D$1731,$C$1:$C$1731,"入国前講習費",$P$1:$P$1731,"札幌")</f>
        <v>0</v>
      </c>
      <c r="M1774" s="32">
        <v>320000</v>
      </c>
      <c r="N1774" s="10"/>
      <c r="O1774" s="9"/>
      <c r="P1774" s="32" t="str">
        <f>D1774-M1774</f>
        <v>0</v>
      </c>
      <c r="Q1774" s="9"/>
      <c r="R1774" s="9"/>
      <c r="S1774" s="10"/>
      <c r="T1774" s="9"/>
      <c r="U1774" s="9"/>
      <c r="V1774" s="9"/>
      <c r="W1774" s="9"/>
      <c r="X1774" s="9"/>
    </row>
    <row r="1775" spans="1:24">
      <c r="A1775" s="9"/>
      <c r="B1775" s="47" t="s">
        <v>51</v>
      </c>
      <c r="C1775" s="53" t="s">
        <v>65</v>
      </c>
      <c r="D1775" s="40" t="str">
        <f>SUMIF($C$2:$C$1737,"特技入管手続料受入",$D$2:$D$1737)</f>
        <v>0</v>
      </c>
      <c r="E1775" s="37" t="str">
        <f>_xlfn.SUMIFS($D$1:$D$1731,$C$1:$C$1731,"特技入管手続料受入",$O$1:$O$1731,"八重洲")</f>
        <v>0</v>
      </c>
      <c r="F1775" s="37" t="str">
        <f>_xlfn.SUMIFS($D$1:$D$1731,$C$1:$C$1731,"特技入管手続料受入",$O$1:$O$1731,"滋賀")</f>
        <v>0</v>
      </c>
      <c r="G1775" s="37" t="str">
        <f>_xlfn.SUMIFS($D$1:$D$1731,$C$1:$C$1731,"特技入管手続料受入",$O$1:$O$1731,"神戸")</f>
        <v>0</v>
      </c>
      <c r="H1775" s="37" t="str">
        <f>_xlfn.SUMIFS($D$1:$D$1731,$C$1:$C$1731,"特技入管手続料受入",$O$1:$O$1731,"名古屋")</f>
        <v>0</v>
      </c>
      <c r="I1775" s="37" t="str">
        <f>_xlfn.SUMIFS($D$1:$D$1731,$C$1:$C$1731,"特技入管手続料受入",$O$1:$O$1731,"福岡(宮崎)")</f>
        <v>0</v>
      </c>
      <c r="J1775" s="37" t="str">
        <f>_xlfn.SUMIFS($D$1:$D$1731,$C$1:$C$1731,"特技入管手続料受入",$O$1:$O$1731,"仙台")</f>
        <v>0</v>
      </c>
      <c r="K1775" s="37" t="str">
        <f>_xlfn.SUMIFS($D$1:$D$1731,$C$1:$C$1731,"特技入管手続料受入",$O$1:$O$1731,"本部")</f>
        <v>0</v>
      </c>
      <c r="L1775" s="37" t="str">
        <f>_xlfn.SUMIFS($D$1:$D$1731,$C$1:$C$1731,"特技入管手続料受入",$O$1:$O$1731,"札幌")</f>
        <v>0</v>
      </c>
      <c r="M1775" s="32">
        <v>224400</v>
      </c>
      <c r="N1775" s="10"/>
      <c r="O1775" s="9"/>
      <c r="P1775" s="32" t="str">
        <f>D1775-M1775</f>
        <v>0</v>
      </c>
      <c r="Q1775" s="9"/>
      <c r="R1775" s="9"/>
      <c r="S1775" s="10"/>
      <c r="T1775" s="9"/>
      <c r="U1775" s="9"/>
      <c r="V1775" s="9"/>
      <c r="W1775" s="9"/>
      <c r="X1775" s="9"/>
    </row>
    <row r="1776" spans="1:24">
      <c r="A1776" s="9"/>
      <c r="B1776" s="47" t="s">
        <v>51</v>
      </c>
      <c r="C1776" s="53" t="s">
        <v>64</v>
      </c>
      <c r="D1776" s="40" t="str">
        <f>SUMIF($C$2:$C$1737,"特技入管手続料受入　印紙",$D$2:$D$1737)</f>
        <v>0</v>
      </c>
      <c r="E1776" s="37" t="str">
        <f>_xlfn.SUMIFS($D$1:$D$1731,$C$1:$C$1731,"特技入管手続料受入　印紙",$O$1:$O$1731,"八重洲")</f>
        <v>0</v>
      </c>
      <c r="F1776" s="37" t="str">
        <f>_xlfn.SUMIFS($D$1:$D$1731,$C$1:$C$1731,"特技入管手続料受入　印紙",$O$1:$O$1731,"滋賀")</f>
        <v>0</v>
      </c>
      <c r="G1776" s="37" t="str">
        <f>_xlfn.SUMIFS($D$1:$D$1731,$C$1:$C$1731,"特技入管手続料受入　印紙",$O$1:$O$1731,"神戸")</f>
        <v>0</v>
      </c>
      <c r="H1776" s="37" t="str">
        <f>_xlfn.SUMIFS($D$1:$D$1731,$C$1:$C$1731,"特技入管手続料受入　印紙",$O$1:$O$1731,"名古屋")</f>
        <v>0</v>
      </c>
      <c r="I1776" s="37" t="str">
        <f>_xlfn.SUMIFS($D$1:$D$1731,$C$1:$C$1731,"特技入管手続料受入　印紙",$O$1:$O$1731,"福岡(宮崎)")</f>
        <v>0</v>
      </c>
      <c r="J1776" s="37" t="str">
        <f>_xlfn.SUMIFS($D$1:$D$1731,$C$1:$C$1731,"特技入管手続料受入　印紙",$O$1:$O$1731,"仙台")</f>
        <v>0</v>
      </c>
      <c r="K1776" s="37" t="str">
        <f>_xlfn.SUMIFS($D$1:$D$1731,$C$1:$C$1731,"特技入管手続料受入　印紙",$O$1:$O$1731,"本部")</f>
        <v>0</v>
      </c>
      <c r="L1776" s="37" t="str">
        <f>_xlfn.SUMIFS($D$1:$D$1731,$C$1:$C$1731,"特技入管手続料受入　印紙",$O$1:$O$1731,"札幌")</f>
        <v>0</v>
      </c>
      <c r="M1776" s="32"/>
      <c r="N1776" s="10"/>
      <c r="O1776" s="9"/>
      <c r="P1776" s="32"/>
      <c r="Q1776" s="9"/>
      <c r="R1776" s="9"/>
      <c r="S1776" s="10"/>
      <c r="T1776" s="9"/>
      <c r="U1776" s="9"/>
      <c r="V1776" s="9"/>
      <c r="W1776" s="9"/>
      <c r="X1776" s="9"/>
    </row>
    <row r="1777" spans="1:24">
      <c r="A1777" s="33"/>
      <c r="B1777" s="49"/>
      <c r="C1777" s="39" t="s">
        <v>63</v>
      </c>
      <c r="D1777" s="40" t="str">
        <f>SUMIF($C$2:$C$1737,"雑費",$D$2:$D$1737)</f>
        <v>0</v>
      </c>
      <c r="E1777" s="14"/>
      <c r="F1777" s="14"/>
      <c r="G1777" s="14"/>
      <c r="H1777" s="14"/>
      <c r="I1777" s="14"/>
      <c r="J1777" s="14"/>
      <c r="K1777" s="21"/>
      <c r="L1777" s="14"/>
      <c r="M1777" s="32">
        <v>0</v>
      </c>
      <c r="N1777" s="10"/>
      <c r="O1777" s="9"/>
      <c r="P1777" s="32" t="str">
        <f>D1777-M1777</f>
        <v>0</v>
      </c>
      <c r="Q1777" s="33"/>
      <c r="R1777" s="9"/>
      <c r="S1777" s="10"/>
      <c r="T1777" s="9"/>
      <c r="U1777" s="9"/>
      <c r="V1777" s="9"/>
      <c r="W1777" s="9"/>
      <c r="X1777" s="9"/>
    </row>
    <row r="1778" spans="1:24">
      <c r="A1778" s="9"/>
      <c r="B1778" s="49"/>
      <c r="C1778" s="39" t="s">
        <v>62</v>
      </c>
      <c r="D1778" s="40" t="str">
        <f>SUMIF($C$2:$C$1737,"預り金",$D$2:$D$1737)</f>
        <v>0</v>
      </c>
      <c r="E1778" s="3" t="str">
        <f>_xlfn.SUMIFS($D$1:$D$1731,$C$1:$C$1731,"預り金",$O$1:$O$1731,"八重洲")</f>
        <v>0</v>
      </c>
      <c r="F1778" s="3" t="str">
        <f>_xlfn.SUMIFS($D$1:$D$1731,$C$1:$C$1731,"預り金",$O$1:$O$1731,"滋賀")</f>
        <v>0</v>
      </c>
      <c r="G1778" s="3" t="str">
        <f>_xlfn.SUMIFS($D$1:$D$1731,$C$1:$C$1731,"預り金",$O$1:$O$1731,"神戸")</f>
        <v>0</v>
      </c>
      <c r="H1778" s="3" t="str">
        <f>_xlfn.SUMIFS($D$1:$D$1731,$C$1:$C$1731,"預り金",$O$1:$O$1731,"名古屋")</f>
        <v>0</v>
      </c>
      <c r="I1778" s="3" t="str">
        <f>_xlfn.SUMIFS($D$1:$D$1731,$C$1:$C$1731,"預り金",$O$1:$O$1731,"宮崎")</f>
        <v>0</v>
      </c>
      <c r="J1778" s="3" t="str">
        <f>_xlfn.SUMIFS($D$1:$D$1731,$C$1:$C$1731,"預り金",$O$1:$O$1731,"仙台")</f>
        <v>0</v>
      </c>
      <c r="K1778" s="3" t="str">
        <f>_xlfn.SUMIFS($D$1:$D$1731,$C$1:$C$1731,"預り金",$O$1:$O$1731,"本部")</f>
        <v>0</v>
      </c>
      <c r="L1778" s="3" t="str">
        <f>_xlfn.SUMIFS($D$1:$D$1731,$C$1:$C$1731,"預り金",$O$1:$O$1731,"札幌")</f>
        <v>0</v>
      </c>
      <c r="M1778" s="32">
        <v>0</v>
      </c>
      <c r="N1778" s="10"/>
      <c r="O1778" s="9"/>
      <c r="P1778" s="32" t="str">
        <f>D1778-M1778</f>
        <v>0</v>
      </c>
      <c r="Q1778" s="9"/>
      <c r="R1778" s="9"/>
      <c r="S1778" s="10"/>
      <c r="T1778" s="9"/>
      <c r="U1778" s="9"/>
      <c r="V1778" s="9"/>
      <c r="W1778" s="9"/>
      <c r="X1778" s="9"/>
    </row>
    <row r="1779" spans="1:24">
      <c r="A1779" s="9"/>
      <c r="B1779" s="49">
        <v>335</v>
      </c>
      <c r="C1779" s="9" t="s">
        <v>61</v>
      </c>
      <c r="D1779" s="40" t="str">
        <f>SUMIF($C$2:$C$1737,"計画認定料受入",$D$2:$D$1737)</f>
        <v>0</v>
      </c>
      <c r="E1779" s="3" t="str">
        <f>_xlfn.SUMIFS($D$1:$D$1731,$C$1:$C$1731,"計画認定料受入",$O$1:$O$1731,"八重洲")</f>
        <v>0</v>
      </c>
      <c r="F1779" s="3" t="str">
        <f>_xlfn.SUMIFS($D$1:$D$1731,$C$1:$C$1731,"計画認定料受入",$O$1:$O$1731,"滋賀")</f>
        <v>0</v>
      </c>
      <c r="G1779" s="3" t="str">
        <f>_xlfn.SUMIFS($D$1:$D$1731,$C$1:$C$1731,"計画認定料受入",$O$1:$O$1731,"神戸")</f>
        <v>0</v>
      </c>
      <c r="H1779" s="3" t="str">
        <f>_xlfn.SUMIFS($D$1:$D$1731,$C$1:$C$1731,"計画認定料受入",$O$1:$O$1731,"名古屋")</f>
        <v>0</v>
      </c>
      <c r="I1779" s="3" t="str">
        <f>_xlfn.SUMIFS($D$1:$D$1731,$C$1:$C$1731,"計画認定料受入",$O$1:$O$1731,"宮崎")</f>
        <v>0</v>
      </c>
      <c r="J1779" s="3" t="str">
        <f>_xlfn.SUMIFS($D$1:$D$1731,$C$1:$C$1731,"計画認定料受入",$O$1:$O$1731,"仙台")</f>
        <v>0</v>
      </c>
      <c r="K1779" s="3" t="str">
        <f>_xlfn.SUMIFS($D$1:$D$1731,$C$1:$C$1731,"計画認定料受入",$O$1:$O$1731,"本部")</f>
        <v>0</v>
      </c>
      <c r="L1779" s="3" t="str">
        <f>_xlfn.SUMIFS($D$1:$D$1731,$C$1:$C$1731,"計画認定料受入",$O$1:$O$1731,"札幌")</f>
        <v>0</v>
      </c>
      <c r="M1779" s="32">
        <v>198900</v>
      </c>
      <c r="N1779" s="10"/>
      <c r="O1779" s="9"/>
      <c r="P1779" s="32" t="str">
        <f>D1779-M1779</f>
        <v>0</v>
      </c>
      <c r="Q1779" s="9"/>
      <c r="R1779" s="9"/>
      <c r="S1779" s="10"/>
      <c r="T1779" s="9"/>
      <c r="U1779" s="9"/>
      <c r="V1779" s="9"/>
      <c r="W1779" s="9"/>
      <c r="X1779" s="9"/>
    </row>
    <row r="1780" spans="1:24">
      <c r="A1780" s="9"/>
      <c r="B1780" s="49">
        <v>175</v>
      </c>
      <c r="C1780" s="9" t="s">
        <v>60</v>
      </c>
      <c r="D1780" s="40" t="str">
        <f>SUMIF($C$2:$C$1737,"仮払金",$D$2:$D$1737)</f>
        <v>0</v>
      </c>
      <c r="E1780" s="3" t="str">
        <f>_xlfn.SUMIFS($D$1:$D$1731,$C$1:$C$1731,"仮払金",$P$1:$P$1731,"八重洲")</f>
        <v>0</v>
      </c>
      <c r="F1780" s="3" t="str">
        <f>_xlfn.SUMIFS($D$1:$D$1731,$C$1:$C$1731,"仮払金",$P$1:$P$1731,"滋賀")</f>
        <v>0</v>
      </c>
      <c r="G1780" s="3" t="str">
        <f>_xlfn.SUMIFS($D$1:$D$1731,$C$1:$C$1731,"仮払金",$P$1:$P$1731,"神戸")</f>
        <v>0</v>
      </c>
      <c r="H1780" s="3" t="str">
        <f>_xlfn.SUMIFS($D$1:$D$1731,$C$1:$C$1731,"仮払金",$P$1:$P$1731,"名古屋")</f>
        <v>0</v>
      </c>
      <c r="I1780" s="3" t="str">
        <f>_xlfn.SUMIFS($D$1:$D$1731,$C$1:$C$1731,"仮払金",$P$1:$P$1731,"宮崎")</f>
        <v>0</v>
      </c>
      <c r="J1780" s="3" t="str">
        <f>_xlfn.SUMIFS($D$1:$D$1731,$C$1:$C$1731,"仮払金",$P$1:$P$1731,"仙台")</f>
        <v>0</v>
      </c>
      <c r="K1780" s="19" t="str">
        <f>_xlfn.SUMIFS($D$1:$D$1731,$C$1:$C$1731,"仮払金",$P$1:$P$1731,"本部")</f>
        <v>0</v>
      </c>
      <c r="L1780" s="3" t="str">
        <f>_xlfn.SUMIFS($D$1:$D$1731,$C$1:$C$1731,"仮払金",$P$1:$P$1731,"札幌")</f>
        <v>0</v>
      </c>
      <c r="M1780" s="32">
        <v>0</v>
      </c>
      <c r="N1780" s="10"/>
      <c r="O1780" s="9"/>
      <c r="P1780" s="32" t="str">
        <f>D1780-M1780</f>
        <v>0</v>
      </c>
      <c r="Q1780" s="9"/>
      <c r="R1780" s="9"/>
      <c r="S1780" s="10"/>
      <c r="T1780" s="9"/>
      <c r="U1780" s="9"/>
      <c r="V1780" s="9"/>
      <c r="W1780" s="9"/>
      <c r="X1780" s="9"/>
    </row>
    <row r="1781" spans="1:24">
      <c r="A1781" s="9"/>
      <c r="B1781" s="49">
        <v>335</v>
      </c>
      <c r="C1781" s="9" t="s">
        <v>59</v>
      </c>
      <c r="D1781" s="40" t="str">
        <f>SUMIF($C$2:$C$1737,"国内移動費",$D$2:$D$1737)</f>
        <v>0</v>
      </c>
      <c r="E1781" s="3" t="str">
        <f>_xlfn.SUMIFS($D$1:$D$1731,$C$1:$C$1731,"国内移動費",$O$1:$O$1731,"八重洲")</f>
        <v>0</v>
      </c>
      <c r="F1781" s="3" t="str">
        <f>_xlfn.SUMIFS($D$1:$D$1731,$C$1:$C$1731,"国内移動費",$P$1:$P$1731,"滋賀")</f>
        <v>0</v>
      </c>
      <c r="G1781" s="3" t="str">
        <f>_xlfn.SUMIFS($D$1:$D$1731,$C$1:$C$1731,"国内移動費",$P$1:$P$1731,"神戸")</f>
        <v>0</v>
      </c>
      <c r="H1781" s="3" t="str">
        <f>_xlfn.SUMIFS($D$1:$D$1731,$C$1:$C$1731,"国内移動費",$P$1:$P$1731,"名古屋")</f>
        <v>0</v>
      </c>
      <c r="I1781" s="3" t="str">
        <f>_xlfn.SUMIFS($D$1:$D$1731,$C$1:$C$1731,"国内移動費",$P$1:$P$1731,"宮崎")</f>
        <v>0</v>
      </c>
      <c r="J1781" s="3" t="str">
        <f>_xlfn.SUMIFS($D$1:$D$1731,$C$1:$C$1731,"国内移動費",$P$1:$P$1731,"仙台")</f>
        <v>0</v>
      </c>
      <c r="K1781" s="19" t="str">
        <f>_xlfn.SUMIFS($D$1:$D$1731,$C$1:$C$1731,"国内移動費",$P$1:$P$1731,"本部")</f>
        <v>0</v>
      </c>
      <c r="L1781" s="3" t="str">
        <f>_xlfn.SUMIFS($D$1:$D$1731,$C$1:$C$1731,"国内移動費",$P$1:$P$1731,"札幌")</f>
        <v>0</v>
      </c>
      <c r="M1781" s="32">
        <v>330024</v>
      </c>
      <c r="N1781" s="10"/>
      <c r="O1781" s="9"/>
      <c r="P1781" s="32" t="str">
        <f>D1781-M1781</f>
        <v>0</v>
      </c>
      <c r="Q1781" s="9"/>
      <c r="R1781" s="9"/>
      <c r="S1781" s="10"/>
      <c r="T1781" s="9"/>
      <c r="U1781" s="9"/>
      <c r="V1781" s="9"/>
      <c r="W1781" s="9"/>
      <c r="X1781" s="9"/>
    </row>
    <row r="1782" spans="1:24">
      <c r="A1782" s="9"/>
      <c r="B1782" s="49">
        <v>335</v>
      </c>
      <c r="C1782" s="9" t="s">
        <v>58</v>
      </c>
      <c r="D1782" s="40" t="str">
        <f>SUMIF($C$2:$C$1737,"入国後講習費",$D$2:$D$1737)</f>
        <v>0</v>
      </c>
      <c r="E1782" s="3" t="str">
        <f>_xlfn.SUMIFS($D$1:$D$1731,$C$1:$C$1731,"入国後講習費",$P$1:$P$1731,"八重洲")</f>
        <v>0</v>
      </c>
      <c r="F1782" s="3" t="str">
        <f>_xlfn.SUMIFS($D$1:$D$1731,$C$1:$C$1731,"入国後講習費",$P$1:$P$1731,"滋賀")</f>
        <v>0</v>
      </c>
      <c r="G1782" s="3" t="str">
        <f>_xlfn.SUMIFS($D$1:$D$1731,$C$1:$C$1731,"入国後講習費",$P$1:$P$1731,"神戸")</f>
        <v>0</v>
      </c>
      <c r="H1782" s="3" t="str">
        <f>_xlfn.SUMIFS($D$1:$D$1731,$C$1:$C$1731,"入国後講習費",$P$1:$P$1731,"名古屋")</f>
        <v>0</v>
      </c>
      <c r="I1782" s="3" t="str">
        <f>_xlfn.SUMIFS($D$1:$D$1731,$C$1:$C$1731,"入国後講習費",$P$1:$P$1731,"宮崎")</f>
        <v>0</v>
      </c>
      <c r="J1782" s="3" t="str">
        <f>_xlfn.SUMIFS($D$1:$D$1731,$C$1:$C$1731,"入国後講習費",$P$1:$P$1731,"仙台")</f>
        <v>0</v>
      </c>
      <c r="K1782" s="3" t="str">
        <f>_xlfn.SUMIFS($D$1:$D$1731,$C$1:$C$1731,"入国後講習費",$P$1:$P$1731,"本部")</f>
        <v>0</v>
      </c>
      <c r="L1782" s="3" t="str">
        <f>_xlfn.SUMIFS($D$1:$D$1731,$C$1:$C$1731,"入国後講習費",$P$1:$P$1731,"札幌")</f>
        <v>0</v>
      </c>
      <c r="M1782" s="32">
        <v>4244900</v>
      </c>
      <c r="N1782" s="10"/>
      <c r="O1782" s="9"/>
      <c r="P1782" s="32" t="str">
        <f>D1782-M1782</f>
        <v>0</v>
      </c>
      <c r="Q1782" s="9"/>
      <c r="R1782" s="9"/>
      <c r="S1782" s="10"/>
      <c r="T1782" s="9"/>
      <c r="U1782" s="9"/>
      <c r="V1782" s="9"/>
      <c r="W1782" s="9"/>
      <c r="X1782" s="9"/>
    </row>
    <row r="1783" spans="1:24">
      <c r="A1783" s="9"/>
      <c r="B1783" s="49">
        <v>335</v>
      </c>
      <c r="C1783" s="9" t="s">
        <v>57</v>
      </c>
      <c r="D1783" s="40" t="str">
        <f>SUMIF($C$2:$C$1737,"入国渡航費",$D$2:$D$1737)</f>
        <v>0</v>
      </c>
      <c r="E1783" s="3" t="str">
        <f>_xlfn.SUMIFS($D$1:$D$1731,$C$1:$C$1731,"入国渡航費",$P$1:$P$1731,"八重洲")</f>
        <v>0</v>
      </c>
      <c r="F1783" s="3" t="str">
        <f>_xlfn.SUMIFS($D$1:$D$1731,$C$1:$C$1731,"入国渡航費",$P$1:$P$1731,"滋賀")</f>
        <v>0</v>
      </c>
      <c r="G1783" s="3" t="str">
        <f>_xlfn.SUMIFS($D$1:$D$1731,$C$1:$C$1731,"入国渡航費",$P$1:$P$1731,"神戸")</f>
        <v>0</v>
      </c>
      <c r="H1783" s="3" t="str">
        <f>_xlfn.SUMIFS($D$1:$D$1731,$C$1:$C$1731,"入国渡航費",$P$1:$P$1731,"名古屋")</f>
        <v>0</v>
      </c>
      <c r="I1783" s="3" t="str">
        <f>_xlfn.SUMIFS($D$1:$D$1731,$C$1:$C$1731,"入国渡航費",$P$1:$P$1731,"宮崎")</f>
        <v>0</v>
      </c>
      <c r="J1783" s="3" t="str">
        <f>_xlfn.SUMIFS($D$1:$D$1731,$C$1:$C$1731,"入国渡航費",$P$1:$P$1731,"仙台")</f>
        <v>0</v>
      </c>
      <c r="K1783" s="3" t="str">
        <f>_xlfn.SUMIFS($D$1:$D$1731,$C$1:$C$1731,"入国渡航費",$P$1:$P$1731,"本部")</f>
        <v>0</v>
      </c>
      <c r="L1783" s="3" t="str">
        <f>_xlfn.SUMIFS($D$1:$D$1731,$C$1:$C$1731,"入国渡航費",$P$1:$P$1731,"札幌")</f>
        <v>0</v>
      </c>
      <c r="M1783" s="32">
        <v>4384106</v>
      </c>
      <c r="N1783" s="10"/>
      <c r="O1783" s="9"/>
      <c r="P1783" s="32" t="str">
        <f>D1783-M1783</f>
        <v>0</v>
      </c>
      <c r="Q1783" s="9"/>
      <c r="R1783" s="9"/>
      <c r="S1783" s="10"/>
      <c r="T1783" s="9"/>
      <c r="U1783" s="9"/>
      <c r="V1783" s="9"/>
      <c r="W1783" s="9"/>
      <c r="X1783" s="9"/>
    </row>
    <row r="1784" spans="1:24">
      <c r="A1784" s="9"/>
      <c r="B1784" s="49">
        <v>335</v>
      </c>
      <c r="C1784" s="9" t="s">
        <v>56</v>
      </c>
      <c r="D1784" s="40" t="str">
        <f>SUMIF($C$2:$C$1737,"入国渡航費（3号前）",$D$2:$D$1737)</f>
        <v>0</v>
      </c>
      <c r="E1784" s="14"/>
      <c r="F1784" s="14"/>
      <c r="G1784" s="14"/>
      <c r="H1784" s="14"/>
      <c r="I1784" s="14"/>
      <c r="J1784" s="14"/>
      <c r="K1784" s="21"/>
      <c r="L1784" s="14"/>
      <c r="M1784" s="32">
        <v>0</v>
      </c>
      <c r="N1784" s="10"/>
      <c r="O1784" s="9"/>
      <c r="P1784" s="32" t="str">
        <f>D1784-M1784</f>
        <v>0</v>
      </c>
      <c r="Q1784" s="9"/>
      <c r="R1784" s="9"/>
      <c r="S1784" s="10"/>
      <c r="T1784" s="9"/>
      <c r="U1784" s="9"/>
      <c r="V1784" s="9"/>
      <c r="W1784" s="9"/>
      <c r="X1784" s="9"/>
    </row>
    <row r="1785" spans="1:24">
      <c r="A1785" s="9"/>
      <c r="B1785" s="49">
        <v>335</v>
      </c>
      <c r="C1785" s="9" t="s">
        <v>55</v>
      </c>
      <c r="D1785" s="40" t="str">
        <f>SUMIF($C$2:$C$1737,"往復渡航費（3号前）",$D$2:$D$1737)</f>
        <v>0</v>
      </c>
      <c r="E1785" s="14"/>
      <c r="F1785" s="14"/>
      <c r="G1785" s="14"/>
      <c r="H1785" s="14"/>
      <c r="I1785" s="14"/>
      <c r="J1785" s="14"/>
      <c r="K1785" s="21"/>
      <c r="L1785" s="14"/>
      <c r="M1785" s="32">
        <v>0</v>
      </c>
      <c r="N1785" s="10"/>
      <c r="O1785" s="9"/>
      <c r="P1785" s="32" t="str">
        <f>D1785-M1785</f>
        <v>0</v>
      </c>
      <c r="Q1785" s="9"/>
      <c r="R1785" s="9"/>
      <c r="S1785" s="10"/>
      <c r="T1785" s="9"/>
      <c r="U1785" s="9"/>
      <c r="V1785" s="9"/>
      <c r="W1785" s="9"/>
      <c r="X1785" s="9"/>
    </row>
    <row r="1786" spans="1:24">
      <c r="A1786" s="9"/>
      <c r="B1786" s="49">
        <v>335</v>
      </c>
      <c r="C1786" s="9" t="s">
        <v>54</v>
      </c>
      <c r="D1786" s="40" t="str">
        <f>SUMIF($C$2:$C$1737,"帰国渡航費",$D$2:$D$1737)</f>
        <v>0</v>
      </c>
      <c r="E1786" s="3" t="str">
        <f>_xlfn.SUMIFS($D$1:$D$1731,$C$1:$C$1731,"帰国渡航費",$P$1:$P$1731,"八重洲")</f>
        <v>0</v>
      </c>
      <c r="F1786" s="3" t="str">
        <f>_xlfn.SUMIFS($D$1:$D$1731,$C$1:$C$1731,"帰国渡航費",$P$1:$P$1731,"滋賀")</f>
        <v>0</v>
      </c>
      <c r="G1786" s="3" t="str">
        <f>_xlfn.SUMIFS($D$1:$D$1731,$C$1:$C$1731,"帰国渡航費",$P$1:$P$1731,"滋賀")</f>
        <v>0</v>
      </c>
      <c r="H1786" s="3" t="str">
        <f>_xlfn.SUMIFS($D$1:$D$1731,$C$1:$C$1731,"帰国渡航費",$P$1:$P$1731,"名古屋")</f>
        <v>0</v>
      </c>
      <c r="I1786" s="3" t="str">
        <f>_xlfn.SUMIFS($D$1:$D$1731,$C$1:$C$1731,"帰国渡航費",$P$1:$P$1731,"宮崎")</f>
        <v>0</v>
      </c>
      <c r="J1786" s="3" t="str">
        <f>_xlfn.SUMIFS($D$1:$D$1731,$C$1:$C$1731,"帰国渡航費",$P$1:$P$1731,"仙台")</f>
        <v>0</v>
      </c>
      <c r="K1786" s="3" t="str">
        <f>_xlfn.SUMIFS($D$1:$D$1731,$C$1:$C$1731,"帰国渡航費",$P$1:$P$1731,"本部")</f>
        <v>0</v>
      </c>
      <c r="L1786" s="3" t="str">
        <f>_xlfn.SUMIFS($D$1:$D$1731,$C$1:$C$1731,"帰国渡航費",$P$1:$P$1731,"札幌")</f>
        <v>0</v>
      </c>
      <c r="M1786" s="32">
        <v>5194840</v>
      </c>
      <c r="N1786" s="10"/>
      <c r="O1786" s="9"/>
      <c r="P1786" s="32" t="str">
        <f>D1786-M1786</f>
        <v>0</v>
      </c>
      <c r="Q1786" s="9"/>
      <c r="R1786" s="9"/>
      <c r="S1786" s="10"/>
      <c r="T1786" s="9"/>
      <c r="U1786" s="9"/>
      <c r="V1786" s="9"/>
      <c r="W1786" s="9"/>
      <c r="X1786" s="9"/>
    </row>
    <row r="1787" spans="1:24">
      <c r="A1787" s="9"/>
      <c r="B1787" s="49">
        <v>335</v>
      </c>
      <c r="C1787" s="9" t="s">
        <v>53</v>
      </c>
      <c r="D1787" s="40" t="str">
        <f>SUMIF($C$2:$C$1737,"帰国渡航費（3号前）",$D$2:$D$1737)</f>
        <v>0</v>
      </c>
      <c r="E1787" s="3" t="str">
        <f>_xlfn.SUMIFS($D$1:$D$1731,$C$1:$C$1731,"帰国渡航費（3号前）",$O$1:$O$1731,"八重洲")</f>
        <v>0</v>
      </c>
      <c r="F1787" s="3" t="str">
        <f>_xlfn.SUMIFS($D$1:$D$1731,$C$1:$C$1731,"外部通訳翻訳費用",$P$1:$P$1731,"滋賀")</f>
        <v>0</v>
      </c>
      <c r="G1787" s="3" t="str">
        <f>_xlfn.SUMIFS($D$1:$D$1731,$C$1:$C$1731,"外部通訳翻訳費用",$P$1:$P$1731,"神戸")</f>
        <v>0</v>
      </c>
      <c r="H1787" s="3" t="str">
        <f>_xlfn.SUMIFS($D$1:$D$1731,$C$1:$C$1731,"外部通訳翻訳費用",$P$1:$P$1731,"名古屋")</f>
        <v>0</v>
      </c>
      <c r="I1787" s="3" t="str">
        <f>_xlfn.SUMIFS($D$1:$D$1731,$C$1:$C$1731,"外部通訳翻訳費用",$P$1:$P$1731,"宮崎")</f>
        <v>0</v>
      </c>
      <c r="J1787" s="3" t="str">
        <f>_xlfn.SUMIFS($D$1:$D$1731,$C$1:$C$1731,"外部通訳翻訳費用",$P$1:$P$1731,"仙台")</f>
        <v>0</v>
      </c>
      <c r="K1787" s="3" t="str">
        <f>_xlfn.SUMIFS($D$1:$D$1731,$C$1:$C$1731,"外部通訳翻訳費用",$P$1:$P$1731,"本部")</f>
        <v>0</v>
      </c>
      <c r="L1787" s="3" t="str">
        <f>_xlfn.SUMIFS($D$1:$D$1731,$C$1:$C$1731,"外部通訳翻訳費用",$P$1:$P$1731,"札幌")</f>
        <v>0</v>
      </c>
      <c r="M1787" s="32">
        <v>0</v>
      </c>
      <c r="N1787" s="10"/>
      <c r="O1787" s="9"/>
      <c r="P1787" s="32" t="str">
        <f>D1787-M1787</f>
        <v>0</v>
      </c>
      <c r="Q1787" s="9"/>
      <c r="R1787" s="9"/>
      <c r="S1787" s="10"/>
      <c r="T1787" s="9"/>
      <c r="U1787" s="9"/>
      <c r="V1787" s="9"/>
      <c r="W1787" s="9"/>
      <c r="X1787" s="9"/>
    </row>
    <row r="1788" spans="1:24">
      <c r="A1788" s="9"/>
      <c r="B1788" s="49">
        <v>335</v>
      </c>
      <c r="C1788" s="9" t="s">
        <v>52</v>
      </c>
      <c r="D1788" s="40" t="str">
        <f>SUMIF($C$2:$C$1737,"雇入時健診費",$D$2:$D$1737)</f>
        <v>0</v>
      </c>
      <c r="E1788" s="3" t="str">
        <f>_xlfn.SUMIFS($D$1:$D$1731,$C$1:$C$1731,"雇入時健診費",$O$1:$O$1731,"八重洲")</f>
        <v>0</v>
      </c>
      <c r="F1788" s="3" t="str">
        <f>_xlfn.SUMIFS($D$1:$D$1731,$C$1:$C$1731,"雇入時健診費",$O$1:$O$1731,"滋賀")</f>
        <v>0</v>
      </c>
      <c r="G1788" s="3" t="str">
        <f>_xlfn.SUMIFS($D$1:$D$1731,$C$1:$C$1731,"雇入時健診費",$O$1:$O$1731,"神戸")</f>
        <v>0</v>
      </c>
      <c r="H1788" s="3" t="str">
        <f>_xlfn.SUMIFS($D$1:$D$1731,$C$1:$C$1731,"雇入時健診費",$O$1:$O$1731,"名古屋")</f>
        <v>0</v>
      </c>
      <c r="I1788" s="3" t="str">
        <f>_xlfn.SUMIFS($D$1:$D$1731,$C$1:$C$1731,"雇入時健診費",$O$1:$O$1731,"宮崎")</f>
        <v>0</v>
      </c>
      <c r="J1788" s="3" t="str">
        <f>_xlfn.SUMIFS($D$1:$D$1731,$C$1:$C$1731,"雇入時健診費",$O$1:$O$1731,"仙台")</f>
        <v>0</v>
      </c>
      <c r="K1788" s="3" t="str">
        <f>_xlfn.SUMIFS($D$1:$D$1731,$C$1:$C$1731,"雇入時健診費",$O$1:$O$1731,"本部")</f>
        <v>0</v>
      </c>
      <c r="L1788" s="3" t="str">
        <f>_xlfn.SUMIFS($D$1:$D$1731,$C$1:$C$1731,"雇入時健診費",$O$1:$O$1731,"札幌")</f>
        <v>0</v>
      </c>
      <c r="M1788" s="32">
        <v>408045</v>
      </c>
      <c r="N1788" s="10"/>
      <c r="O1788" s="9"/>
      <c r="P1788" s="32" t="str">
        <f>D1788-M1788</f>
        <v>0</v>
      </c>
      <c r="Q1788" s="9"/>
      <c r="R1788" s="9"/>
      <c r="S1788" s="10"/>
      <c r="T1788" s="9"/>
      <c r="U1788" s="9"/>
      <c r="V1788" s="9"/>
      <c r="W1788" s="9"/>
      <c r="X1788" s="9"/>
    </row>
    <row r="1789" spans="1:24">
      <c r="A1789" s="9"/>
      <c r="B1789" s="47" t="s">
        <v>51</v>
      </c>
      <c r="C1789" s="50" t="s">
        <v>50</v>
      </c>
      <c r="D1789" s="40" t="str">
        <f>SUMIF($C$2:$C$1737,"印紙代",$D$2:$D$1737)</f>
        <v>0</v>
      </c>
      <c r="E1789" s="37" t="str">
        <f>_xlfn.SUMIFS($D$1:$D$1731,$C$1:$C$1731,"印紙代",$O$1:$O$1731,"八重洲")</f>
        <v>0</v>
      </c>
      <c r="F1789" s="37" t="str">
        <f>_xlfn.SUMIFS($D$1:$D$1731,$C$1:$C$1731,"印紙代",$O$1:$O$1731,"滋賀")</f>
        <v>0</v>
      </c>
      <c r="G1789" s="37" t="str">
        <f>_xlfn.SUMIFS($D$1:$D$1731,$C$1:$C$1731,"印紙代",$O$1:$O$1731,"神戸")</f>
        <v>0</v>
      </c>
      <c r="H1789" s="37" t="str">
        <f>_xlfn.SUMIFS($D$1:$D$1731,$C$1:$C$1731,"印紙代",$O$1:$O$1731,"名古屋")</f>
        <v>0</v>
      </c>
      <c r="I1789" s="37" t="str">
        <f>_xlfn.SUMIFS($D$1:$D$1731,$C$1:$C$1731,"印紙代",$O$1:$O$1731,"福岡(宮崎)")</f>
        <v>0</v>
      </c>
      <c r="J1789" s="37" t="str">
        <f>_xlfn.SUMIFS($D$1:$D$1731,$C$1:$C$1731,"印紙代",$O$1:$O$1731,"仙台")</f>
        <v>0</v>
      </c>
      <c r="K1789" s="37" t="str">
        <f>_xlfn.SUMIFS($D$1:$D$1731,$C$1:$C$1731,"印紙代",$O$1:$O$1731,"本部")</f>
        <v>0</v>
      </c>
      <c r="L1789" s="37" t="str">
        <f>_xlfn.SUMIFS($D$1:$D$1731,$C$1:$C$1731,"印紙代",$O$1:$O$1731,"札幌")</f>
        <v>0</v>
      </c>
      <c r="M1789" s="32">
        <v>108000</v>
      </c>
      <c r="N1789" s="10"/>
      <c r="O1789" s="9"/>
      <c r="P1789" s="32" t="str">
        <f>D1789-M1789</f>
        <v>0</v>
      </c>
      <c r="Q1789" s="9"/>
      <c r="R1789" s="9"/>
      <c r="S1789" s="10"/>
      <c r="T1789" s="9"/>
      <c r="U1789" s="9"/>
      <c r="V1789" s="9"/>
      <c r="W1789" s="9"/>
      <c r="X1789" s="9"/>
    </row>
    <row r="1790" spans="1:24">
      <c r="A1790" s="9"/>
      <c r="B1790" s="49"/>
      <c r="C1790" s="9" t="s">
        <v>49</v>
      </c>
      <c r="D1790" s="40" t="str">
        <f>SUMIF($C$2:$C$1737,"相談支援費",$D$2:$D$1737)</f>
        <v>0</v>
      </c>
      <c r="E1790" s="3" t="str">
        <f>_xlfn.SUMIFS($D$1:$D$1731,$C$1:$C$1731,"特定技能外国人支援初期費用",$O$1:$O$1731,"八重洲")</f>
        <v>0</v>
      </c>
      <c r="F1790" s="3" t="str">
        <f>_xlfn.SUMIFS($D$1:$D$1731,$C$1:$C$1731,"特定技能外国人支援初期費用",$O$1:$O$1731,"滋賀")</f>
        <v>0</v>
      </c>
      <c r="G1790" s="3" t="str">
        <f>_xlfn.SUMIFS($D$1:$D$1731,$C$1:$C$1731,"特定技能外国人支援初期費用",$O$1:$O$1731,"神戸")</f>
        <v>0</v>
      </c>
      <c r="H1790" s="3" t="str">
        <f>_xlfn.SUMIFS($D$1:$D$1731,$C$1:$C$1731,"特定技能外国人支援初期費用",$O$1:$O$1731,"名古屋")</f>
        <v>0</v>
      </c>
      <c r="I1790" s="3" t="str">
        <f>_xlfn.SUMIFS($D$1:$D$1731,$C$1:$C$1731,"特定技能外国人支援初期費用",$O$1:$O$1731,"宮崎")</f>
        <v>0</v>
      </c>
      <c r="J1790" s="3" t="str">
        <f>_xlfn.SUMIFS($D$1:$D$1731,$C$1:$C$1731,"特定技能外国人支援初期費用",$O$1:$O$1731,"仙台")</f>
        <v>0</v>
      </c>
      <c r="K1790" s="3" t="str">
        <f>_xlfn.SUMIFS($D$1:$D$1731,$C$1:$C$1731,"特定技能外国人支援初期費用",$O$1:$O$1731,"本部")</f>
        <v>0</v>
      </c>
      <c r="L1790" s="3" t="str">
        <f>_xlfn.SUMIFS($D$1:$D$1731,$C$1:$C$1731,"特定技能外国人支援初期費用",$O$1:$O$1731,"札幌")</f>
        <v>0</v>
      </c>
      <c r="M1790" s="32">
        <v>0</v>
      </c>
      <c r="N1790" s="10"/>
      <c r="O1790" s="9"/>
      <c r="P1790" s="32" t="str">
        <f>D1790-M1790</f>
        <v>0</v>
      </c>
      <c r="Q1790" s="9"/>
      <c r="R1790" s="9"/>
      <c r="S1790" s="10"/>
      <c r="T1790" s="9"/>
      <c r="U1790" s="9"/>
      <c r="V1790" s="9"/>
      <c r="W1790" s="9"/>
      <c r="X1790" s="9"/>
    </row>
    <row r="1791" spans="1:24" customHeight="1" ht="24">
      <c r="A1791"/>
      <c r="B1791" s="35" t="s">
        <v>45</v>
      </c>
      <c r="C1791" s="42" t="s">
        <v>48</v>
      </c>
      <c r="D1791" s="40" t="str">
        <f>SUMIF($C$2:$C$1737,"IHI修得支援費受入",$D$2:$D$1737)</f>
        <v>0</v>
      </c>
      <c r="E1791" s="37" t="str">
        <f>_xlfn.SUMIFS($D$1:$D$1731,$C$1:$C$1731,"IHI修得支援費受入",$O$1:$O$1731,"八重洲")</f>
        <v>0</v>
      </c>
      <c r="F1791" s="37" t="str">
        <f>_xlfn.SUMIFS($D$1:$D$1731,$C$1:$C$1731,"IHI修得支援費受入",$O$1:$O$1731,"滋賀")</f>
        <v>0</v>
      </c>
      <c r="G1791" s="37" t="str">
        <f>_xlfn.SUMIFS($D$1:$D$1731,$C$1:$C$1731,"IHI修得支援費受入",$O$1:$O$1731,"神戸")</f>
        <v>0</v>
      </c>
      <c r="H1791" s="37" t="str">
        <f>_xlfn.SUMIFS($D$1:$D$1731,$C$1:$C$1731,"IHI修得支援費受入",$O$1:$O$1731,"名古屋")</f>
        <v>0</v>
      </c>
      <c r="I1791" s="37" t="str">
        <f>_xlfn.SUMIFS($D$1:$D$1731,$C$1:$C$1731,"IHI修得支援費受入",$O$1:$O$1731,"福岡(宮崎)")</f>
        <v>0</v>
      </c>
      <c r="J1791" s="37" t="str">
        <f>_xlfn.SUMIFS($D$1:$D$1731,$C$1:$C$1731,"IHI修得支援費受入",$O$1:$O$1731,"仙台")</f>
        <v>0</v>
      </c>
      <c r="K1791" s="37" t="str">
        <f>_xlfn.SUMIFS($D$1:$D$1731,$C$1:$C$1731,"IHI修得支援費受入",$O$1:$O$1731,"本部")</f>
        <v>0</v>
      </c>
      <c r="L1791" s="37" t="str">
        <f>_xlfn.SUMIFS($D$1:$D$1731,$C$1:$C$1731,"IHI修得支援費受入",$O$1:$O$1731,"札幌")</f>
        <v>0</v>
      </c>
      <c r="M1791" s="32">
        <v>0</v>
      </c>
      <c r="N1791"/>
      <c r="O1791"/>
      <c r="P1791" s="32" t="str">
        <f>D1791-M1791</f>
        <v>0</v>
      </c>
      <c r="Q1791"/>
      <c r="R1791"/>
      <c r="S1791"/>
      <c r="T1791"/>
      <c r="U1791"/>
      <c r="V1791"/>
      <c r="W1791"/>
      <c r="X1791"/>
    </row>
    <row r="1792" spans="1:24">
      <c r="A1792" s="9"/>
      <c r="B1792" s="49"/>
      <c r="C1792" s="9" t="s">
        <v>47</v>
      </c>
      <c r="D1792" s="40" t="str">
        <f>SUMIF($C$2:$C$1737,"資格取得支援費受入",$D$2:$D$1737)</f>
        <v>0</v>
      </c>
      <c r="E1792" s="3" t="str">
        <f>_xlfn.SUMIFS($D$1:$D$1731,$C$1:$C$1731,"資格取得支援費受入",$O$1:$O$1731,"八重洲")</f>
        <v>0</v>
      </c>
      <c r="F1792" s="3" t="str">
        <f>_xlfn.SUMIFS($D$1:$D$1731,$C$1:$C$1731,"駐在業務費",$O$1:$O$1731,"滋賀")</f>
        <v>0</v>
      </c>
      <c r="G1792" s="3" t="str">
        <f>_xlfn.SUMIFS($D$1:$D$1731,$C$1:$C$1731,"駐在業務費",$O$1:$O$1731,"神戸")</f>
        <v>0</v>
      </c>
      <c r="H1792" s="3" t="str">
        <f>_xlfn.SUMIFS($D$1:$D$1731,$C$1:$C$1731,"駐在業務費",$O$1:$O$1731,"名古屋")</f>
        <v>0</v>
      </c>
      <c r="I1792" s="3" t="str">
        <f>_xlfn.SUMIFS($D$1:$D$1731,$C$1:$C$1731,"駐在業務費",$O$1:$O$1731,"福岡(宮崎)")</f>
        <v>0</v>
      </c>
      <c r="J1792" s="3" t="str">
        <f>_xlfn.SUMIFS($D$1:$D$1731,$C$1:$C$1731,"駐在業務費",$O$1:$O$1731,"仙台")</f>
        <v>0</v>
      </c>
      <c r="K1792" s="3" t="str">
        <f>_xlfn.SUMIFS($D$1:$D$1731,$C$1:$C$1731,"駐在業務費",$O$1:$O$1731,"本部")</f>
        <v>0</v>
      </c>
      <c r="L1792" s="3" t="str">
        <f>_xlfn.SUMIFS($D$1:$D$1731,$C$1:$C$1731,"駐在業務費",$O$1:$O$1731,"札幌")</f>
        <v>0</v>
      </c>
      <c r="M1792" s="32">
        <v>0</v>
      </c>
      <c r="N1792" s="10"/>
      <c r="O1792" s="9"/>
      <c r="P1792" s="32" t="str">
        <f>D1792-M1792</f>
        <v>0</v>
      </c>
      <c r="Q1792" s="9"/>
      <c r="R1792" s="9"/>
      <c r="S1792" s="10"/>
      <c r="T1792" s="9"/>
      <c r="U1792" s="9"/>
      <c r="V1792" s="9"/>
      <c r="W1792" s="9"/>
      <c r="X1792" s="9"/>
    </row>
    <row r="1793" spans="1:24">
      <c r="A1793" s="9"/>
      <c r="B1793" s="49">
        <v>335</v>
      </c>
      <c r="C1793" s="9" t="s">
        <v>46</v>
      </c>
      <c r="D1793" s="40" t="str">
        <f>SUMIF($C$2:$C$1737,"日本語習得支援費受入",$D$2:$D$1737)</f>
        <v>0</v>
      </c>
      <c r="E1793" s="3" t="str">
        <f>_xlfn.SUMIFS($D$1:$D$1731,$C$1:$C$1731,"日本語習得支援費受入",$O$1:$O$1731,"八重洲")</f>
        <v>0</v>
      </c>
      <c r="F1793" s="3" t="str">
        <f>_xlfn.SUMIFS($D$1:$D$1731,$C$1:$C$1731,"日本語習得支援費受入",$O$1:$O$1731,"滋賀")</f>
        <v>0</v>
      </c>
      <c r="G1793" s="3" t="str">
        <f>_xlfn.SUMIFS($D$1:$D$1731,$C$1:$C$1731,"日本語習得支援費受入",$O$1:$O$1731,"神戸")</f>
        <v>0</v>
      </c>
      <c r="H1793" s="3" t="str">
        <f>_xlfn.SUMIFS($D$1:$D$1731,$C$1:$C$1731,"日本語習得支援費受入",$O$1:$O$1731,"名古屋")</f>
        <v>0</v>
      </c>
      <c r="I1793" s="3" t="str">
        <f>_xlfn.SUMIFS($D$1:$D$1731,$C$1:$C$1731,"日本語習得支援費受入",$O$1:$O$1731,"宮崎")</f>
        <v>0</v>
      </c>
      <c r="J1793" s="3" t="str">
        <f>_xlfn.SUMIFS($D$1:$D$1731,$C$1:$C$1731,"日本語習得支援費受入",$O$1:$O$1731,"仙台")</f>
        <v>0</v>
      </c>
      <c r="K1793" s="3" t="str">
        <f>_xlfn.SUMIFS($D$1:$D$1731,$C$1:$C$1731,"日本語習得支援費受入",$O$1:$O$1731,"本部")</f>
        <v>0</v>
      </c>
      <c r="L1793" s="3" t="str">
        <f>_xlfn.SUMIFS($D$1:$D$1731,$C$1:$C$1731,"日本語習得支援費受入",$O$1:$O$1731,"札幌")</f>
        <v>0</v>
      </c>
      <c r="M1793" s="32">
        <v>0</v>
      </c>
      <c r="N1793" s="10"/>
      <c r="O1793" s="9"/>
      <c r="P1793" s="32" t="str">
        <f>D1793-M1793</f>
        <v>0</v>
      </c>
      <c r="Q1793" s="9"/>
      <c r="R1793" s="9"/>
      <c r="S1793" s="10"/>
      <c r="T1793" s="9"/>
      <c r="U1793" s="9"/>
      <c r="V1793" s="9"/>
      <c r="W1793" s="9"/>
      <c r="X1793" s="9"/>
    </row>
    <row r="1794" spans="1:24" customHeight="1" ht="24">
      <c r="A1794"/>
      <c r="B1794" s="35" t="s">
        <v>45</v>
      </c>
      <c r="C1794" s="42" t="s">
        <v>44</v>
      </c>
      <c r="D1794" s="40" t="str">
        <f>SUMIF($C$2:$C$1737,"駐在業務費",$D$2:$D$1737)</f>
        <v>0</v>
      </c>
      <c r="E1794" s="37" t="str">
        <f>_xlfn.SUMIFS($D$1:$D$1731,$C$1:$C$1731,"駐在業務費",$O$1:$O$1731,"八重洲")</f>
        <v>0</v>
      </c>
      <c r="F1794" s="37" t="str">
        <f>_xlfn.SUMIFS($D$1:$D$1731,$C$1:$C$1731,"日本語習得支援費受入",$O$1:$O$1731,"滋賀")</f>
        <v>0</v>
      </c>
      <c r="G1794" s="37" t="str">
        <f>_xlfn.SUMIFS($D$1:$D$1731,$C$1:$C$1731,"日本語習得支援費受入",$O$1:$O$1731,"神戸")</f>
        <v>0</v>
      </c>
      <c r="H1794" s="37" t="str">
        <f>_xlfn.SUMIFS($D$1:$D$1731,$C$1:$C$1731,"日本語習得支援費受入",$O$1:$O$1731,"名古屋")</f>
        <v>0</v>
      </c>
      <c r="I1794" s="37" t="str">
        <f>_xlfn.SUMIFS($D$1:$D$1731,$C$1:$C$1731,"日本語習得支援費受入",$O$1:$O$1731,"福岡(宮崎)")</f>
        <v>0</v>
      </c>
      <c r="J1794" s="37" t="str">
        <f>_xlfn.SUMIFS($D$1:$D$1731,$C$1:$C$1731,"日本語習得支援費受入",$O$1:$O$1731,"仙台")</f>
        <v>0</v>
      </c>
      <c r="K1794" s="37" t="str">
        <f>_xlfn.SUMIFS($D$1:$D$1731,$C$1:$C$1731,"日本語習得支援費受入",$O$1:$O$1731,"本部")</f>
        <v>0</v>
      </c>
      <c r="L1794" s="37" t="str">
        <f>_xlfn.SUMIFS($D$1:$D$1731,$C$1:$C$1731,"日本語習得支援費受入",$O$1:$O$1731,"札幌")</f>
        <v>0</v>
      </c>
      <c r="M1794" s="32">
        <v>600000</v>
      </c>
      <c r="N1794"/>
      <c r="O1794"/>
      <c r="P1794" s="32" t="str">
        <f>D1794-M1794</f>
        <v>0</v>
      </c>
      <c r="Q1794"/>
      <c r="R1794"/>
      <c r="S1794"/>
      <c r="T1794"/>
      <c r="U1794"/>
      <c r="V1794"/>
      <c r="W1794"/>
      <c r="X1794"/>
    </row>
    <row r="1795" spans="1:24">
      <c r="A1795" s="9"/>
      <c r="B1795" s="49">
        <v>335</v>
      </c>
      <c r="C1795" s="9" t="s">
        <v>43</v>
      </c>
      <c r="D1795" s="40" t="str">
        <f>SUMIF($C$2:$C$1737,"特定技能外国人支援初期費用",$D$2:$D$1737)</f>
        <v>0</v>
      </c>
      <c r="E1795" s="14"/>
      <c r="F1795" s="14"/>
      <c r="G1795" s="14"/>
      <c r="H1795" s="14"/>
      <c r="I1795" s="14"/>
      <c r="J1795" s="14"/>
      <c r="K1795" s="14"/>
      <c r="L1795" s="14"/>
      <c r="M1795" s="32">
        <v>0</v>
      </c>
      <c r="N1795" s="10"/>
      <c r="O1795" s="9"/>
      <c r="P1795" s="32" t="str">
        <f>D1795-M1795</f>
        <v>0</v>
      </c>
      <c r="Q1795" s="9"/>
      <c r="R1795" s="9"/>
      <c r="S1795" s="10"/>
      <c r="T1795" s="9"/>
      <c r="U1795" s="9"/>
      <c r="V1795" s="9"/>
      <c r="W1795" s="9"/>
      <c r="X1795" s="9"/>
    </row>
    <row r="1796" spans="1:24">
      <c r="A1796" s="9"/>
      <c r="B1796" s="55">
        <v>137</v>
      </c>
      <c r="C1796" s="56" t="s">
        <v>42</v>
      </c>
      <c r="D1796" s="40" t="str">
        <f>SUMIF($C$2:$C$1737,"外部通訳翻訳費用",$D$2:$D$1737)</f>
        <v>0</v>
      </c>
      <c r="E1796" s="37" t="str">
        <f>_xlfn.SUMIFS($D$1:$D$1731,$C$1:$C$1731,"外部通訳翻訳費用",$O$1:$O$1731,"八重洲")</f>
        <v>0</v>
      </c>
      <c r="F1796" s="37" t="str">
        <f>_xlfn.SUMIFS($D$1:$D$1731,$C$1:$C$1731,"日本語習得支援費受入",$O$1:$O$1731,"滋賀")</f>
        <v>0</v>
      </c>
      <c r="G1796" s="37" t="str">
        <f>_xlfn.SUMIFS($D$1:$D$1731,$C$1:$C$1731,"日本語習得支援費受入",$O$1:$O$1731,"神戸")</f>
        <v>0</v>
      </c>
      <c r="H1796" s="37" t="str">
        <f>_xlfn.SUMIFS($D$1:$D$1731,$C$1:$C$1731,"日本語習得支援費受入",$O$1:$O$1731,"名古屋")</f>
        <v>0</v>
      </c>
      <c r="I1796" s="37" t="str">
        <f>_xlfn.SUMIFS($D$1:$D$1731,$C$1:$C$1731,"日本語習得支援費受入",$O$1:$O$1731,"福岡(宮崎)")</f>
        <v>0</v>
      </c>
      <c r="J1796" s="37" t="str">
        <f>_xlfn.SUMIFS($D$1:$D$1731,$C$1:$C$1731,"日本語習得支援費受入",$O$1:$O$1731,"仙台")</f>
        <v>0</v>
      </c>
      <c r="K1796" s="37" t="str">
        <f>_xlfn.SUMIFS($D$1:$D$1731,$C$1:$C$1731,"日本語習得支援費受入",$O$1:$O$1731,"本部")</f>
        <v>0</v>
      </c>
      <c r="L1796" s="37" t="str">
        <f>_xlfn.SUMIFS($D$1:$D$1731,$C$1:$C$1731,"日本語習得支援費受入",$O$1:$O$1731,"札幌")</f>
        <v>0</v>
      </c>
      <c r="M1796" s="32">
        <v>651940</v>
      </c>
      <c r="N1796" s="10"/>
      <c r="O1796" s="9"/>
      <c r="P1796" s="32" t="str">
        <f>D1796-M1796</f>
        <v>0</v>
      </c>
      <c r="Q1796" s="9"/>
      <c r="R1796" s="9"/>
      <c r="S1796" s="10"/>
      <c r="T1796" s="9"/>
      <c r="U1796" s="9"/>
      <c r="V1796" s="9"/>
      <c r="W1796" s="9"/>
      <c r="X1796" s="9"/>
    </row>
    <row r="1797" spans="1:24">
      <c r="A1797" s="9"/>
      <c r="B1797" s="57">
        <v>137</v>
      </c>
      <c r="C1797" s="58" t="s">
        <v>41</v>
      </c>
      <c r="D1797" s="40"/>
      <c r="E1797" s="37" t="str">
        <f>_xlfn.SUMIFS($D$1:$D$1731,$C$1:$C$1731,"在留申請サポート費",$O$1:$O$1731,"八重洲")</f>
        <v>0</v>
      </c>
      <c r="F1797" s="37" t="str">
        <f>_xlfn.SUMIFS($D$1:$D$1731,$C$1:$C$1731,"在留申請サポート費",$O$1:$O$1731,"滋賀")</f>
        <v>0</v>
      </c>
      <c r="G1797" s="37" t="str">
        <f>_xlfn.SUMIFS($D$1:$D$1731,$C$1:$C$1731,"在留申請サポート費",$O$1:$O$1731,"神戸")</f>
        <v>0</v>
      </c>
      <c r="H1797" s="37" t="str">
        <f>_xlfn.SUMIFS($D$1:$D$1731,$C$1:$C$1731,"在留申請サポート費",$O$1:$O$1731,"名古屋")</f>
        <v>0</v>
      </c>
      <c r="I1797" s="37" t="str">
        <f>_xlfn.SUMIFS($D$1:$D$1731,$C$1:$C$1731,"在留申請サポート費",$O$1:$O$1731,"福岡(宮崎)")</f>
        <v>0</v>
      </c>
      <c r="J1797" s="37" t="str">
        <f>_xlfn.SUMIFS($D$1:$D$1731,$C$1:$C$1731,"在留申請サポート費",$O$1:$O$1731,"仙台")</f>
        <v>0</v>
      </c>
      <c r="K1797" s="37" t="str">
        <f>_xlfn.SUMIFS($D$1:$D$1731,$C$1:$C$1731,"在留申請サポート費",$O$1:$O$1731,"本部")</f>
        <v>0</v>
      </c>
      <c r="L1797" s="37" t="str">
        <f>_xlfn.SUMIFS($D$1:$D$1731,$C$1:$C$1731,"在留申請サポート費",$O$1:$O$1731,"札幌")</f>
        <v>0</v>
      </c>
      <c r="M1797" s="32"/>
      <c r="N1797" s="10"/>
      <c r="O1797" s="9"/>
      <c r="P1797" s="32"/>
      <c r="Q1797" s="9"/>
      <c r="R1797" s="9"/>
      <c r="S1797" s="10"/>
      <c r="T1797" s="9"/>
      <c r="U1797" s="9"/>
      <c r="V1797" s="9"/>
      <c r="W1797" s="9"/>
      <c r="X1797" s="9"/>
    </row>
    <row r="1798" spans="1:24">
      <c r="A1798" s="9"/>
      <c r="B1798" s="9"/>
      <c r="C1798" s="26"/>
      <c r="D1798" s="10"/>
      <c r="E1798" s="10"/>
      <c r="F1798" s="10"/>
      <c r="G1798" s="10"/>
      <c r="H1798" s="10"/>
      <c r="I1798" s="10"/>
      <c r="J1798" s="10"/>
      <c r="K1798" s="10"/>
      <c r="L1798" s="10"/>
      <c r="M1798" s="32"/>
      <c r="N1798" s="10"/>
      <c r="O1798" s="9"/>
      <c r="P1798" s="32"/>
      <c r="Q1798" s="9"/>
      <c r="R1798" s="9"/>
      <c r="S1798" s="10"/>
      <c r="T1798" s="9"/>
      <c r="U1798" s="9"/>
      <c r="V1798" s="9"/>
      <c r="W1798" s="9"/>
      <c r="X1798" s="9"/>
    </row>
    <row r="1799" spans="1:24">
      <c r="A1799" s="9"/>
      <c r="B1799" s="9"/>
      <c r="C1799" s="26" t="s">
        <v>40</v>
      </c>
      <c r="D1799" s="10" t="str">
        <f>SUM(D1741,D1748,D1754)</f>
        <v>0</v>
      </c>
      <c r="E1799" s="10"/>
      <c r="F1799" s="10"/>
      <c r="G1799" s="10"/>
      <c r="H1799" s="10"/>
      <c r="I1799" s="10"/>
      <c r="J1799" s="10"/>
      <c r="K1799" s="10"/>
      <c r="L1799" s="10"/>
      <c r="M1799" s="32"/>
      <c r="N1799" s="10"/>
      <c r="O1799" s="9"/>
      <c r="P1799" s="59"/>
      <c r="Q1799" s="9"/>
      <c r="R1799" s="9"/>
      <c r="S1799" s="10"/>
      <c r="T1799" s="9"/>
      <c r="U1799" s="9"/>
      <c r="V1799" s="9"/>
      <c r="W1799" s="9"/>
      <c r="X1799" s="9"/>
    </row>
    <row r="1800" spans="1:24">
      <c r="P1800" s="32"/>
      <c r="U1800" s="9"/>
      <c r="V1800" s="9"/>
      <c r="W1800" s="9"/>
      <c r="X1800" s="9"/>
    </row>
    <row r="1801" spans="1:24">
      <c r="U1801" s="9"/>
      <c r="V1801" s="9"/>
      <c r="W1801" s="9"/>
      <c r="X1801" s="9"/>
    </row>
    <row r="1802" spans="1:24">
      <c r="U1802" s="9"/>
      <c r="V1802" s="9"/>
      <c r="W1802" s="9"/>
      <c r="X1802" s="9"/>
    </row>
    <row r="1803" spans="1:24">
      <c r="U1803" s="9"/>
      <c r="V1803" s="9"/>
      <c r="W1803" s="9"/>
      <c r="X1803" s="9"/>
    </row>
    <row r="1804" spans="1:24">
      <c r="U1804" s="9"/>
      <c r="V1804" s="9"/>
      <c r="W1804" s="9"/>
      <c r="X1804" s="9"/>
    </row>
    <row r="1805" spans="1:24">
      <c r="U1805" s="9"/>
      <c r="V1805" s="9"/>
      <c r="W1805" s="9"/>
      <c r="X1805" s="9"/>
    </row>
    <row r="1806" spans="1:24">
      <c r="U1806" s="9"/>
      <c r="V1806" s="9"/>
      <c r="W1806" s="9"/>
      <c r="X1806" s="9"/>
    </row>
    <row r="1807" spans="1:24">
      <c r="U1807" s="9"/>
      <c r="V1807" s="9"/>
      <c r="W1807" s="9"/>
      <c r="X1807" s="9"/>
    </row>
    <row r="1808" spans="1:24">
      <c r="U1808" s="9"/>
      <c r="V1808" s="9"/>
      <c r="W1808" s="9"/>
      <c r="X1808" s="9"/>
    </row>
    <row r="1809" spans="1:24">
      <c r="U1809" s="9"/>
      <c r="V1809" s="9"/>
      <c r="W1809" s="9"/>
      <c r="X1809" s="9"/>
    </row>
    <row r="1810" spans="1:24">
      <c r="U1810" s="9"/>
      <c r="V1810" s="9"/>
      <c r="W1810" s="9"/>
      <c r="X1810" s="9"/>
    </row>
    <row r="1811" spans="1:24">
      <c r="U1811" s="9"/>
      <c r="V1811" s="9"/>
      <c r="W1811" s="9"/>
      <c r="X1811" s="9"/>
    </row>
    <row r="1812" spans="1:24">
      <c r="U1812" s="9"/>
      <c r="V1812" s="9"/>
      <c r="W1812" s="9"/>
      <c r="X1812" s="9"/>
    </row>
    <row r="1813" spans="1:24">
      <c r="U1813" s="9"/>
      <c r="V1813" s="9"/>
      <c r="W1813" s="9"/>
      <c r="X1813" s="9"/>
    </row>
    <row r="1814" spans="1:24">
      <c r="U1814" s="9"/>
      <c r="V1814" s="9"/>
      <c r="W1814" s="9"/>
      <c r="X1814" s="9"/>
    </row>
    <row r="1815" spans="1:24">
      <c r="U1815" s="9"/>
      <c r="V1815" s="9"/>
      <c r="W1815" s="9"/>
      <c r="X1815" s="9"/>
    </row>
    <row r="1816" spans="1:24">
      <c r="U1816" s="9"/>
      <c r="V1816" s="9"/>
      <c r="W1816" s="9"/>
      <c r="X1816" s="9"/>
    </row>
    <row r="1817" spans="1:24">
      <c r="U1817" s="9"/>
      <c r="V1817" s="9"/>
      <c r="W1817" s="9"/>
      <c r="X1817" s="9"/>
    </row>
    <row r="1818" spans="1:24">
      <c r="U1818" s="9"/>
      <c r="V1818" s="9"/>
      <c r="W1818" s="9"/>
      <c r="X1818" s="9"/>
    </row>
    <row r="1819" spans="1:24">
      <c r="U1819" s="9"/>
      <c r="V1819" s="9"/>
      <c r="W1819" s="9"/>
      <c r="X1819" s="9"/>
    </row>
    <row r="1820" spans="1:24">
      <c r="U1820" s="9"/>
      <c r="V1820" s="9"/>
      <c r="W1820" s="9"/>
      <c r="X1820" s="9"/>
    </row>
    <row r="1821" spans="1:24">
      <c r="U1821" s="9"/>
      <c r="V1821" s="9"/>
      <c r="W1821" s="9"/>
      <c r="X1821" s="9"/>
    </row>
    <row r="1822" spans="1:24">
      <c r="U1822" s="9"/>
      <c r="V1822" s="9"/>
      <c r="W1822" s="9"/>
      <c r="X1822" s="9"/>
    </row>
    <row r="1823" spans="1:24">
      <c r="U1823" s="9"/>
      <c r="V1823" s="9"/>
      <c r="W1823" s="9"/>
      <c r="X1823" s="9"/>
    </row>
    <row r="1824" spans="1:24">
      <c r="U1824" s="9"/>
      <c r="V1824" s="9"/>
      <c r="W1824" s="9"/>
      <c r="X1824" s="9"/>
    </row>
    <row r="1825" spans="1:24">
      <c r="U1825" s="9"/>
      <c r="V1825" s="9"/>
      <c r="W1825" s="9"/>
      <c r="X1825" s="9"/>
    </row>
    <row r="1826" spans="1:24">
      <c r="U1826" s="9"/>
      <c r="V1826" s="9"/>
      <c r="W1826" s="9"/>
      <c r="X1826" s="9"/>
    </row>
    <row r="1827" spans="1:24">
      <c r="U1827" s="9"/>
      <c r="V1827" s="9"/>
      <c r="W1827" s="9"/>
      <c r="X1827" s="9"/>
    </row>
    <row r="1828" spans="1:24">
      <c r="U1828" s="9"/>
      <c r="V1828" s="9"/>
      <c r="W1828" s="9"/>
      <c r="X1828" s="9"/>
    </row>
    <row r="1829" spans="1:24">
      <c r="U1829" s="9"/>
      <c r="V1829" s="9"/>
      <c r="W1829" s="9"/>
      <c r="X1829" s="9"/>
    </row>
    <row r="1830" spans="1:24">
      <c r="U1830" s="9"/>
      <c r="V1830" s="9"/>
      <c r="W1830" s="9"/>
      <c r="X1830" s="9"/>
    </row>
    <row r="1831" spans="1:24">
      <c r="U1831" s="9"/>
      <c r="V1831" s="9"/>
      <c r="W1831" s="9"/>
      <c r="X1831" s="9"/>
    </row>
    <row r="1832" spans="1:24">
      <c r="U1832" s="9"/>
      <c r="V1832" s="9"/>
      <c r="W1832" s="9"/>
      <c r="X1832" s="9"/>
    </row>
    <row r="1833" spans="1:24">
      <c r="U1833" s="9"/>
      <c r="V1833" s="9"/>
      <c r="W1833" s="9"/>
      <c r="X1833" s="9"/>
    </row>
    <row r="1834" spans="1:24">
      <c r="U1834" s="9"/>
      <c r="V1834" s="9"/>
      <c r="W1834" s="9"/>
      <c r="X1834" s="9"/>
    </row>
    <row r="1835" spans="1:24">
      <c r="U1835" s="9"/>
      <c r="V1835" s="9"/>
      <c r="W1835" s="9"/>
      <c r="X1835" s="9"/>
    </row>
    <row r="1836" spans="1:24">
      <c r="U1836" s="9"/>
      <c r="V1836" s="9"/>
      <c r="W1836" s="9"/>
      <c r="X1836" s="9"/>
    </row>
    <row r="1837" spans="1:24">
      <c r="U1837" s="9"/>
      <c r="V1837" s="9"/>
      <c r="W1837" s="9"/>
      <c r="X1837" s="9"/>
    </row>
    <row r="1838" spans="1:24">
      <c r="U1838" s="9"/>
      <c r="V1838" s="9"/>
      <c r="W1838" s="9"/>
      <c r="X1838" s="9"/>
    </row>
    <row r="1839" spans="1:24">
      <c r="U1839" s="9"/>
      <c r="V1839" s="9"/>
      <c r="W1839" s="9"/>
      <c r="X1839" s="9"/>
    </row>
    <row r="1840" spans="1:24">
      <c r="U1840" s="9"/>
      <c r="V1840" s="9"/>
      <c r="W1840" s="9"/>
      <c r="X1840" s="9"/>
    </row>
    <row r="1841" spans="1:24">
      <c r="U1841" s="9"/>
      <c r="V1841" s="9"/>
      <c r="W1841" s="9"/>
      <c r="X1841" s="9"/>
    </row>
    <row r="1842" spans="1:24">
      <c r="U1842" s="9"/>
      <c r="V1842" s="9"/>
      <c r="W1842" s="9"/>
      <c r="X1842" s="9"/>
    </row>
    <row r="1843" spans="1:24">
      <c r="U1843" s="9"/>
      <c r="V1843" s="9"/>
      <c r="W1843" s="9"/>
      <c r="X1843" s="9"/>
    </row>
    <row r="1844" spans="1:24">
      <c r="M1844" s="60"/>
      <c r="U1844" s="9"/>
      <c r="V1844" s="9"/>
      <c r="W1844" s="9"/>
      <c r="X1844" s="9"/>
    </row>
    <row r="1845" spans="1:24">
      <c r="U1845" s="9"/>
      <c r="V1845" s="9"/>
      <c r="W1845" s="9"/>
      <c r="X1845" s="9"/>
    </row>
  </sheetData>
  <autoFilter ref="A1:Z2"/>
  <printOptions gridLines="false" gridLinesSet="true"/>
  <pageMargins left="0.39370078740157" right="0.51181102362205" top="0.35433070866142" bottom="0.35433070866142" header="0.19685039370079" footer="0.15748031496063"/>
  <pageSetup paperSize="9" orientation="portrait" scale="75" fitToHeight="0" fitToWidth="1" pageOrder="downThenOver" r:id="rId1ps"/>
  <headerFooter differentOddEven="false" differentFirst="false" scaleWithDoc="true" alignWithMargins="true">
    <oddHeader>&amp;A</oddHeader>
    <oddFooter/>
    <evenHeader/>
    <evenFooter/>
    <firstHeader/>
    <firstFooter/>
  </headerFooter>
  <rowBreaks count="1" manualBreakCount="1">
    <brk id="1739" man="1"/>
  </row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会計連携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kunugi</dc:creator>
  <cp:lastModifiedBy>睦子 大谷</cp:lastModifiedBy>
  <dcterms:created xsi:type="dcterms:W3CDTF">2026-02-10T08:20:47+00:00</dcterms:created>
  <dcterms:modified xsi:type="dcterms:W3CDTF">2026-02-18T03:00:41+00:00</dcterms:modified>
  <dc:title/>
  <dc:description/>
  <dc:subject/>
  <cp:keywords/>
  <cp:category/>
</cp:coreProperties>
</file>