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\Downloads\"/>
    </mc:Choice>
  </mc:AlternateContent>
  <xr:revisionPtr revIDLastSave="0" documentId="8_{23FD5FD1-3903-424F-B0FA-A8790E6FCC8A}" xr6:coauthVersionLast="47" xr6:coauthVersionMax="47" xr10:uidLastSave="{00000000-0000-0000-0000-000000000000}"/>
  <bookViews>
    <workbookView xWindow="22932" yWindow="-108" windowWidth="23256" windowHeight="12456" xr2:uid="{1E89792F-01A5-4651-94A7-CF62E9A84FE7}"/>
  </bookViews>
  <sheets>
    <sheet name="2026.1月0129" sheetId="1" r:id="rId1"/>
  </sheets>
  <definedNames>
    <definedName name="_xlnm._FilterDatabase" localSheetId="0" hidden="1">'2026.1月0129'!$A$1:$Z$2</definedName>
    <definedName name="_xlnm.Print_Area" localSheetId="0">'2026.1月0129'!$A$1:$S$72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7" i="1" l="1"/>
  <c r="L68" i="1"/>
  <c r="K68" i="1"/>
  <c r="J68" i="1"/>
  <c r="I68" i="1"/>
  <c r="H68" i="1"/>
  <c r="G68" i="1"/>
  <c r="F68" i="1"/>
  <c r="E68" i="1"/>
  <c r="L67" i="1"/>
  <c r="K67" i="1"/>
  <c r="J67" i="1"/>
  <c r="I67" i="1"/>
  <c r="H67" i="1"/>
  <c r="G67" i="1"/>
  <c r="F67" i="1"/>
  <c r="D67" i="1"/>
  <c r="P67" i="1" s="1"/>
  <c r="D66" i="1"/>
  <c r="P66" i="1" s="1"/>
  <c r="L65" i="1"/>
  <c r="K65" i="1"/>
  <c r="J65" i="1"/>
  <c r="I65" i="1"/>
  <c r="H65" i="1"/>
  <c r="G65" i="1"/>
  <c r="F65" i="1"/>
  <c r="D65" i="1"/>
  <c r="P65" i="1" s="1"/>
  <c r="L64" i="1"/>
  <c r="K64" i="1"/>
  <c r="J64" i="1"/>
  <c r="I64" i="1"/>
  <c r="H64" i="1"/>
  <c r="G64" i="1"/>
  <c r="F64" i="1"/>
  <c r="E64" i="1"/>
  <c r="D64" i="1"/>
  <c r="P64" i="1" s="1"/>
  <c r="E63" i="1"/>
  <c r="D63" i="1"/>
  <c r="P63" i="1" s="1"/>
  <c r="D62" i="1"/>
  <c r="P62" i="1" s="1"/>
  <c r="L61" i="1"/>
  <c r="K61" i="1"/>
  <c r="J61" i="1"/>
  <c r="I61" i="1"/>
  <c r="H61" i="1"/>
  <c r="G61" i="1"/>
  <c r="F61" i="1"/>
  <c r="E61" i="1"/>
  <c r="D61" i="1"/>
  <c r="P61" i="1" s="1"/>
  <c r="D60" i="1"/>
  <c r="P60" i="1" s="1"/>
  <c r="D59" i="1"/>
  <c r="P59" i="1" s="1"/>
  <c r="L58" i="1"/>
  <c r="K58" i="1"/>
  <c r="J58" i="1"/>
  <c r="I58" i="1"/>
  <c r="H58" i="1"/>
  <c r="G58" i="1"/>
  <c r="F58" i="1"/>
  <c r="E58" i="1"/>
  <c r="D58" i="1"/>
  <c r="P58" i="1" s="1"/>
  <c r="L57" i="1"/>
  <c r="K57" i="1"/>
  <c r="J57" i="1"/>
  <c r="I57" i="1"/>
  <c r="H57" i="1"/>
  <c r="G57" i="1"/>
  <c r="F57" i="1"/>
  <c r="E57" i="1"/>
  <c r="D57" i="1"/>
  <c r="P57" i="1" s="1"/>
  <c r="D56" i="1"/>
  <c r="P56" i="1" s="1"/>
  <c r="D55" i="1"/>
  <c r="P55" i="1" s="1"/>
  <c r="L54" i="1"/>
  <c r="K54" i="1"/>
  <c r="J54" i="1"/>
  <c r="I54" i="1"/>
  <c r="H54" i="1"/>
  <c r="G54" i="1"/>
  <c r="F54" i="1"/>
  <c r="E54" i="1"/>
  <c r="D54" i="1"/>
  <c r="P54" i="1" s="1"/>
  <c r="L53" i="1"/>
  <c r="K53" i="1"/>
  <c r="J53" i="1"/>
  <c r="I53" i="1"/>
  <c r="H53" i="1"/>
  <c r="G53" i="1"/>
  <c r="F53" i="1"/>
  <c r="E53" i="1"/>
  <c r="D53" i="1"/>
  <c r="P53" i="1" s="1"/>
  <c r="L52" i="1"/>
  <c r="K52" i="1"/>
  <c r="J52" i="1"/>
  <c r="I52" i="1"/>
  <c r="H52" i="1"/>
  <c r="G52" i="1"/>
  <c r="F52" i="1"/>
  <c r="D52" i="1"/>
  <c r="P52" i="1" s="1"/>
  <c r="L51" i="1"/>
  <c r="K51" i="1"/>
  <c r="J51" i="1"/>
  <c r="I51" i="1"/>
  <c r="H51" i="1"/>
  <c r="G51" i="1"/>
  <c r="F51" i="1"/>
  <c r="E51" i="1"/>
  <c r="D51" i="1"/>
  <c r="P51" i="1" s="1"/>
  <c r="D50" i="1"/>
  <c r="P50" i="1" s="1"/>
  <c r="L49" i="1"/>
  <c r="K49" i="1"/>
  <c r="J49" i="1"/>
  <c r="I49" i="1"/>
  <c r="H49" i="1"/>
  <c r="G49" i="1"/>
  <c r="F49" i="1"/>
  <c r="E49" i="1"/>
  <c r="D49" i="1"/>
  <c r="P49" i="1" s="1"/>
  <c r="D48" i="1"/>
  <c r="P48" i="1" s="1"/>
  <c r="D47" i="1"/>
  <c r="D46" i="1"/>
  <c r="P46" i="1" s="1"/>
  <c r="L45" i="1"/>
  <c r="K45" i="1"/>
  <c r="J45" i="1"/>
  <c r="I45" i="1"/>
  <c r="H45" i="1"/>
  <c r="G45" i="1"/>
  <c r="F45" i="1"/>
  <c r="E45" i="1"/>
  <c r="D45" i="1"/>
  <c r="P45" i="1" s="1"/>
  <c r="E44" i="1"/>
  <c r="D44" i="1"/>
  <c r="P44" i="1" s="1"/>
  <c r="L43" i="1"/>
  <c r="K43" i="1"/>
  <c r="J43" i="1"/>
  <c r="I43" i="1"/>
  <c r="H43" i="1"/>
  <c r="G43" i="1"/>
  <c r="F43" i="1"/>
  <c r="E43" i="1"/>
  <c r="D43" i="1"/>
  <c r="P43" i="1" s="1"/>
  <c r="L42" i="1"/>
  <c r="K42" i="1"/>
  <c r="J42" i="1"/>
  <c r="I42" i="1"/>
  <c r="H42" i="1"/>
  <c r="G42" i="1"/>
  <c r="F42" i="1"/>
  <c r="E42" i="1"/>
  <c r="D42" i="1"/>
  <c r="P42" i="1" s="1"/>
  <c r="L41" i="1"/>
  <c r="K41" i="1"/>
  <c r="J41" i="1"/>
  <c r="I41" i="1"/>
  <c r="H41" i="1"/>
  <c r="G41" i="1"/>
  <c r="F41" i="1"/>
  <c r="D41" i="1"/>
  <c r="P41" i="1" s="1"/>
  <c r="D40" i="1"/>
  <c r="P40" i="1" s="1"/>
  <c r="E39" i="1"/>
  <c r="D39" i="1"/>
  <c r="P39" i="1" s="1"/>
  <c r="D38" i="1"/>
  <c r="P38" i="1" s="1"/>
  <c r="D37" i="1"/>
  <c r="P37" i="1" s="1"/>
  <c r="L36" i="1"/>
  <c r="K36" i="1"/>
  <c r="J36" i="1"/>
  <c r="I36" i="1"/>
  <c r="H36" i="1"/>
  <c r="G36" i="1"/>
  <c r="F36" i="1"/>
  <c r="E36" i="1"/>
  <c r="D36" i="1"/>
  <c r="P36" i="1" s="1"/>
  <c r="L35" i="1"/>
  <c r="K35" i="1"/>
  <c r="J35" i="1"/>
  <c r="I35" i="1"/>
  <c r="H35" i="1"/>
  <c r="G35" i="1"/>
  <c r="F35" i="1"/>
  <c r="E35" i="1"/>
  <c r="D35" i="1"/>
  <c r="P35" i="1" s="1"/>
  <c r="D34" i="1"/>
  <c r="P34" i="1" s="1"/>
  <c r="L33" i="1"/>
  <c r="K33" i="1"/>
  <c r="J33" i="1"/>
  <c r="I33" i="1"/>
  <c r="H33" i="1"/>
  <c r="G33" i="1"/>
  <c r="F33" i="1"/>
  <c r="E33" i="1"/>
  <c r="D33" i="1"/>
  <c r="P33" i="1" s="1"/>
  <c r="D32" i="1"/>
  <c r="P32" i="1" s="1"/>
  <c r="L31" i="1"/>
  <c r="K31" i="1"/>
  <c r="J31" i="1"/>
  <c r="I31" i="1"/>
  <c r="H31" i="1"/>
  <c r="G31" i="1"/>
  <c r="F31" i="1"/>
  <c r="E31" i="1"/>
  <c r="D31" i="1"/>
  <c r="P31" i="1" s="1"/>
  <c r="D30" i="1"/>
  <c r="D29" i="1"/>
  <c r="P29" i="1" s="1"/>
  <c r="D28" i="1"/>
  <c r="P28" i="1" s="1"/>
  <c r="D27" i="1"/>
  <c r="P27" i="1" s="1"/>
  <c r="D26" i="1"/>
  <c r="P26" i="1" s="1"/>
  <c r="D23" i="1"/>
  <c r="P23" i="1" s="1"/>
  <c r="D22" i="1"/>
  <c r="P22" i="1" s="1"/>
  <c r="L21" i="1"/>
  <c r="K21" i="1"/>
  <c r="J21" i="1"/>
  <c r="I21" i="1"/>
  <c r="H21" i="1"/>
  <c r="G21" i="1"/>
  <c r="F21" i="1"/>
  <c r="E21" i="1"/>
  <c r="D21" i="1"/>
  <c r="P21" i="1" s="1"/>
  <c r="D20" i="1"/>
  <c r="L17" i="1"/>
  <c r="K17" i="1"/>
  <c r="J17" i="1"/>
  <c r="I17" i="1"/>
  <c r="H17" i="1"/>
  <c r="G17" i="1"/>
  <c r="F17" i="1"/>
  <c r="E17" i="1"/>
  <c r="D17" i="1"/>
  <c r="P17" i="1" s="1"/>
  <c r="D16" i="1"/>
  <c r="P16" i="1" s="1"/>
  <c r="D15" i="1"/>
  <c r="P15" i="1" s="1"/>
  <c r="L14" i="1"/>
  <c r="K14" i="1"/>
  <c r="J14" i="1"/>
  <c r="I14" i="1"/>
  <c r="H14" i="1"/>
  <c r="G14" i="1"/>
  <c r="F14" i="1"/>
  <c r="E14" i="1"/>
  <c r="D14" i="1"/>
  <c r="P14" i="1" s="1"/>
  <c r="D13" i="1"/>
  <c r="P13" i="1" s="1"/>
  <c r="E41" i="1"/>
  <c r="D4" i="1" l="1"/>
  <c r="D19" i="1"/>
  <c r="P19" i="1" s="1"/>
  <c r="D12" i="1"/>
  <c r="P12" i="1" s="1"/>
  <c r="I29" i="1"/>
  <c r="E29" i="1"/>
  <c r="L29" i="1"/>
  <c r="H29" i="1"/>
  <c r="J29" i="1"/>
  <c r="G29" i="1"/>
  <c r="F29" i="1"/>
  <c r="K29" i="1"/>
  <c r="J22" i="1"/>
  <c r="F22" i="1"/>
  <c r="I22" i="1"/>
  <c r="E22" i="1"/>
  <c r="L22" i="1"/>
  <c r="K22" i="1"/>
  <c r="H22" i="1"/>
  <c r="G22" i="1"/>
  <c r="L50" i="1"/>
  <c r="H50" i="1"/>
  <c r="K50" i="1"/>
  <c r="G50" i="1"/>
  <c r="J50" i="1"/>
  <c r="F50" i="1"/>
  <c r="I50" i="1"/>
  <c r="E50" i="1"/>
  <c r="J20" i="1"/>
  <c r="F20" i="1"/>
  <c r="L20" i="1"/>
  <c r="G20" i="1"/>
  <c r="K20" i="1"/>
  <c r="E20" i="1"/>
  <c r="I20" i="1"/>
  <c r="H20" i="1"/>
  <c r="J15" i="1"/>
  <c r="F15" i="1"/>
  <c r="H15" i="1"/>
  <c r="I15" i="1"/>
  <c r="L15" i="1"/>
  <c r="K15" i="1"/>
  <c r="G15" i="1"/>
  <c r="E15" i="1"/>
  <c r="I47" i="1"/>
  <c r="E47" i="1"/>
  <c r="L47" i="1"/>
  <c r="H47" i="1"/>
  <c r="K47" i="1"/>
  <c r="G47" i="1"/>
  <c r="J47" i="1"/>
  <c r="F47" i="1"/>
  <c r="L32" i="1"/>
  <c r="H32" i="1"/>
  <c r="K32" i="1"/>
  <c r="G32" i="1"/>
  <c r="J32" i="1"/>
  <c r="F32" i="1"/>
  <c r="I32" i="1"/>
  <c r="E32" i="1"/>
  <c r="E52" i="1"/>
  <c r="K37" i="1"/>
  <c r="G37" i="1"/>
  <c r="J37" i="1"/>
  <c r="F37" i="1"/>
  <c r="I37" i="1"/>
  <c r="E37" i="1"/>
  <c r="L37" i="1"/>
  <c r="H37" i="1"/>
  <c r="L60" i="1"/>
  <c r="H60" i="1"/>
  <c r="K60" i="1"/>
  <c r="G60" i="1"/>
  <c r="J60" i="1"/>
  <c r="F60" i="1"/>
  <c r="I60" i="1"/>
  <c r="E60" i="1"/>
  <c r="J13" i="1"/>
  <c r="F13" i="1"/>
  <c r="L13" i="1"/>
  <c r="G13" i="1"/>
  <c r="K13" i="1"/>
  <c r="I13" i="1"/>
  <c r="H13" i="1"/>
  <c r="E13" i="1"/>
  <c r="K30" i="1"/>
  <c r="G30" i="1"/>
  <c r="J30" i="1"/>
  <c r="F30" i="1"/>
  <c r="H30" i="1"/>
  <c r="E30" i="1"/>
  <c r="L30" i="1"/>
  <c r="I30" i="1"/>
  <c r="I34" i="1"/>
  <c r="E34" i="1"/>
  <c r="L34" i="1"/>
  <c r="H34" i="1"/>
  <c r="K34" i="1"/>
  <c r="G34" i="1"/>
  <c r="J34" i="1"/>
  <c r="F34" i="1"/>
  <c r="J59" i="1"/>
  <c r="F59" i="1"/>
  <c r="I59" i="1"/>
  <c r="E59" i="1"/>
  <c r="L59" i="1"/>
  <c r="H59" i="1"/>
  <c r="K59" i="1"/>
  <c r="G59" i="1"/>
  <c r="K46" i="1"/>
  <c r="G46" i="1"/>
  <c r="J46" i="1"/>
  <c r="F46" i="1"/>
  <c r="I46" i="1"/>
  <c r="E46" i="1"/>
  <c r="L46" i="1"/>
  <c r="H46" i="1"/>
  <c r="I38" i="1"/>
  <c r="E38" i="1"/>
  <c r="L38" i="1"/>
  <c r="H38" i="1"/>
  <c r="K38" i="1"/>
  <c r="G38" i="1"/>
  <c r="J38" i="1"/>
  <c r="F38" i="1"/>
  <c r="L23" i="1"/>
  <c r="H23" i="1"/>
  <c r="K23" i="1"/>
  <c r="G23" i="1"/>
  <c r="I23" i="1"/>
  <c r="F23" i="1"/>
  <c r="E23" i="1"/>
  <c r="J23" i="1"/>
  <c r="L62" i="1"/>
  <c r="H62" i="1"/>
  <c r="K62" i="1"/>
  <c r="G62" i="1"/>
  <c r="J62" i="1"/>
  <c r="F62" i="1"/>
  <c r="I62" i="1"/>
  <c r="E62" i="1"/>
  <c r="J63" i="1"/>
  <c r="F63" i="1"/>
  <c r="E65" i="1"/>
  <c r="I63" i="1"/>
  <c r="L63" i="1"/>
  <c r="H63" i="1"/>
  <c r="K63" i="1"/>
  <c r="G63" i="1"/>
  <c r="D9" i="1"/>
  <c r="D10" i="1"/>
  <c r="P20" i="1"/>
  <c r="D25" i="1"/>
  <c r="P25" i="1" s="1"/>
  <c r="A28" i="1" l="1"/>
  <c r="D70" i="1"/>
</calcChain>
</file>

<file path=xl/sharedStrings.xml><?xml version="1.0" encoding="utf-8"?>
<sst xmlns="http://schemas.openxmlformats.org/spreadsheetml/2006/main" count="111" uniqueCount="90">
  <si>
    <t>請求日</t>
  </si>
  <si>
    <t>入金日</t>
  </si>
  <si>
    <t>勘定科目</t>
  </si>
  <si>
    <t>合計</t>
  </si>
  <si>
    <t>2 八重洲　</t>
    <rPh sb="2" eb="5">
      <t>ヤエス</t>
    </rPh>
    <phoneticPr fontId="3"/>
  </si>
  <si>
    <t>3 滋賀</t>
    <rPh sb="2" eb="4">
      <t>シガ</t>
    </rPh>
    <phoneticPr fontId="3"/>
  </si>
  <si>
    <t>12 神戸</t>
    <rPh sb="3" eb="5">
      <t>コウベ</t>
    </rPh>
    <phoneticPr fontId="3"/>
  </si>
  <si>
    <t>4 名古屋</t>
    <rPh sb="2" eb="5">
      <t>ナゴヤ</t>
    </rPh>
    <phoneticPr fontId="3"/>
  </si>
  <si>
    <t>福岡(宮崎)</t>
    <rPh sb="0" eb="2">
      <t>フクオカ</t>
    </rPh>
    <rPh sb="3" eb="5">
      <t>ミヤザキ</t>
    </rPh>
    <phoneticPr fontId="3"/>
  </si>
  <si>
    <t>7 仙台</t>
    <rPh sb="2" eb="4">
      <t>センダイ</t>
    </rPh>
    <phoneticPr fontId="3"/>
  </si>
  <si>
    <t>9 本部</t>
    <rPh sb="2" eb="4">
      <t>ホンブ</t>
    </rPh>
    <phoneticPr fontId="3"/>
  </si>
  <si>
    <t>11 札幌</t>
    <rPh sb="3" eb="5">
      <t>サッポロ</t>
    </rPh>
    <phoneticPr fontId="3"/>
  </si>
  <si>
    <t>請求先</t>
  </si>
  <si>
    <t>請求先2</t>
    <phoneticPr fontId="3"/>
  </si>
  <si>
    <t>担当事務所</t>
    <rPh sb="0" eb="4">
      <t>タントウジム</t>
    </rPh>
    <rPh sb="4" eb="5">
      <t>ショ</t>
    </rPh>
    <phoneticPr fontId="3"/>
  </si>
  <si>
    <t>適用</t>
  </si>
  <si>
    <t>締め日</t>
    <phoneticPr fontId="3"/>
  </si>
  <si>
    <t>数量</t>
    <rPh sb="0" eb="2">
      <t>スウリョウ</t>
    </rPh>
    <phoneticPr fontId="3"/>
  </si>
  <si>
    <t>単価</t>
    <rPh sb="0" eb="2">
      <t>タンカ</t>
    </rPh>
    <phoneticPr fontId="3"/>
  </si>
  <si>
    <t>JITCO入管手続料受入　印紙</t>
    <rPh sb="13" eb="15">
      <t>インシ</t>
    </rPh>
    <phoneticPr fontId="3"/>
  </si>
  <si>
    <t>名古屋</t>
  </si>
  <si>
    <t>派遣機関ﾌｨｰ受入</t>
  </si>
  <si>
    <t>仙台</t>
  </si>
  <si>
    <t>本部</t>
  </si>
  <si>
    <t>手数料収入</t>
    <phoneticPr fontId="3"/>
  </si>
  <si>
    <t>入国後講習費</t>
  </si>
  <si>
    <t>特技派遣機関ﾌｨｰ受入</t>
  </si>
  <si>
    <t>特技入管手続料受入　印紙</t>
    <rPh sb="10" eb="12">
      <t>インシ</t>
    </rPh>
    <phoneticPr fontId="3"/>
  </si>
  <si>
    <t>計画認定料受入</t>
  </si>
  <si>
    <t>帰国渡航費</t>
  </si>
  <si>
    <t>共同情報提供料受入</t>
  </si>
  <si>
    <t>総計</t>
  </si>
  <si>
    <t>137未収計</t>
    <rPh sb="3" eb="5">
      <t>ミシュウ</t>
    </rPh>
    <rPh sb="5" eb="6">
      <t>ケイ</t>
    </rPh>
    <phoneticPr fontId="3"/>
  </si>
  <si>
    <t>327未払計</t>
    <rPh sb="3" eb="5">
      <t>ミバラ</t>
    </rPh>
    <rPh sb="5" eb="6">
      <t>ケイ</t>
    </rPh>
    <phoneticPr fontId="3"/>
  </si>
  <si>
    <t>前月</t>
    <rPh sb="0" eb="2">
      <t>ゼンゲツ</t>
    </rPh>
    <phoneticPr fontId="3"/>
  </si>
  <si>
    <t>TIC収入</t>
  </si>
  <si>
    <t>八重洲　</t>
    <phoneticPr fontId="3"/>
  </si>
  <si>
    <t>滋賀</t>
    <phoneticPr fontId="3"/>
  </si>
  <si>
    <t>神戸</t>
    <rPh sb="0" eb="2">
      <t>コウベ</t>
    </rPh>
    <phoneticPr fontId="3"/>
  </si>
  <si>
    <t>福岡･宮崎</t>
    <rPh sb="0" eb="2">
      <t>フクオカ</t>
    </rPh>
    <rPh sb="3" eb="5">
      <t>ミヤザキ</t>
    </rPh>
    <phoneticPr fontId="3"/>
  </si>
  <si>
    <t>札幌</t>
    <rPh sb="0" eb="2">
      <t>サッポロ</t>
    </rPh>
    <phoneticPr fontId="3"/>
  </si>
  <si>
    <t>＜内訳＞</t>
  </si>
  <si>
    <t>137のみ計上</t>
    <rPh sb="5" eb="7">
      <t>ケイジョウ</t>
    </rPh>
    <phoneticPr fontId="3"/>
  </si>
  <si>
    <t>建設手数料収入</t>
    <phoneticPr fontId="3"/>
  </si>
  <si>
    <t>特技手数料収入</t>
    <rPh sb="0" eb="2">
      <t>トクギ</t>
    </rPh>
    <rPh sb="2" eb="5">
      <t>テスウリョウ</t>
    </rPh>
    <rPh sb="5" eb="7">
      <t>シュウニュウ</t>
    </rPh>
    <phoneticPr fontId="3"/>
  </si>
  <si>
    <t>その他収入</t>
  </si>
  <si>
    <t>特定活動支援手数料</t>
  </si>
  <si>
    <t>137・327</t>
    <phoneticPr fontId="3"/>
  </si>
  <si>
    <t>派遣機関ﾌｨｰ受入</t>
    <phoneticPr fontId="3"/>
  </si>
  <si>
    <t>建設派遣機関ﾌｨｰ受入</t>
  </si>
  <si>
    <t>その他</t>
  </si>
  <si>
    <t>立替金</t>
    <phoneticPr fontId="3"/>
  </si>
  <si>
    <t>その他　受入</t>
    <phoneticPr fontId="3"/>
  </si>
  <si>
    <t>集合研修費受入</t>
    <phoneticPr fontId="3"/>
  </si>
  <si>
    <t>JITCO入管手続料受入</t>
    <phoneticPr fontId="3"/>
  </si>
  <si>
    <t>建設JITCO入管手続料受入</t>
    <rPh sb="0" eb="2">
      <t>ケンセツ</t>
    </rPh>
    <phoneticPr fontId="3"/>
  </si>
  <si>
    <t>JITCO年会費受入</t>
    <phoneticPr fontId="3"/>
  </si>
  <si>
    <t>JITCO保険料受入</t>
    <phoneticPr fontId="3"/>
  </si>
  <si>
    <t>NBCC保険料受入</t>
    <phoneticPr fontId="3"/>
  </si>
  <si>
    <t>建設JITCO保険料受入</t>
    <phoneticPr fontId="3"/>
  </si>
  <si>
    <t>建設NBCC保険料受入</t>
    <rPh sb="0" eb="2">
      <t>ケンセツ</t>
    </rPh>
    <phoneticPr fontId="3"/>
  </si>
  <si>
    <t>特技NBCC保険料受入</t>
    <phoneticPr fontId="3"/>
  </si>
  <si>
    <t>技検試験料受入</t>
    <phoneticPr fontId="3"/>
  </si>
  <si>
    <t>未収入金</t>
    <phoneticPr fontId="3"/>
  </si>
  <si>
    <t>出資金</t>
    <phoneticPr fontId="3"/>
  </si>
  <si>
    <t>仮受金</t>
    <phoneticPr fontId="3"/>
  </si>
  <si>
    <t>講習手当</t>
    <phoneticPr fontId="3"/>
  </si>
  <si>
    <t>職業紹介費</t>
    <phoneticPr fontId="3"/>
  </si>
  <si>
    <t>その他　支払</t>
    <phoneticPr fontId="3"/>
  </si>
  <si>
    <t>入国前講習費</t>
    <phoneticPr fontId="3"/>
  </si>
  <si>
    <t>特技入管手続料受入</t>
    <phoneticPr fontId="3"/>
  </si>
  <si>
    <t>雑費</t>
    <rPh sb="0" eb="2">
      <t>ザッピ</t>
    </rPh>
    <phoneticPr fontId="3"/>
  </si>
  <si>
    <t>預り金</t>
    <rPh sb="0" eb="1">
      <t>アズカ</t>
    </rPh>
    <rPh sb="2" eb="3">
      <t>キン</t>
    </rPh>
    <phoneticPr fontId="3"/>
  </si>
  <si>
    <t>仮払金</t>
    <rPh sb="0" eb="2">
      <t>カリバライ</t>
    </rPh>
    <rPh sb="2" eb="3">
      <t>キン</t>
    </rPh>
    <phoneticPr fontId="3"/>
  </si>
  <si>
    <t>国内移動費</t>
    <phoneticPr fontId="3"/>
  </si>
  <si>
    <t>入国渡航費</t>
    <phoneticPr fontId="3"/>
  </si>
  <si>
    <t>入国渡航費（3号前）</t>
  </si>
  <si>
    <t>往復渡航費（3号前）</t>
  </si>
  <si>
    <t>帰国渡航費（3号前）</t>
  </si>
  <si>
    <t>雇入時健診費</t>
    <phoneticPr fontId="3"/>
  </si>
  <si>
    <t>印紙代　３号</t>
    <rPh sb="5" eb="6">
      <t>ゴウ</t>
    </rPh>
    <phoneticPr fontId="3"/>
  </si>
  <si>
    <t>相談支援費</t>
    <phoneticPr fontId="3"/>
  </si>
  <si>
    <t>IHI修得支援費受入</t>
    <phoneticPr fontId="3"/>
  </si>
  <si>
    <t>資格取得支援費受入</t>
  </si>
  <si>
    <t>日本語習得支援費受入</t>
    <phoneticPr fontId="3"/>
  </si>
  <si>
    <t>駐在業務費</t>
    <phoneticPr fontId="3"/>
  </si>
  <si>
    <t>特定技能外国人支援初期費用</t>
    <phoneticPr fontId="3"/>
  </si>
  <si>
    <t>外部通訳翻訳費用</t>
    <phoneticPr fontId="3"/>
  </si>
  <si>
    <t>手数料収入（就労）</t>
    <phoneticPr fontId="3"/>
  </si>
  <si>
    <t>請求データ総合計</t>
    <rPh sb="0" eb="2">
      <t>セイキュウ</t>
    </rPh>
    <rPh sb="5" eb="7">
      <t>ソウゴウ</t>
    </rPh>
    <rPh sb="7" eb="8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</si>
</sst>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/d;@"/>
    <numFmt numFmtId="177" formatCode="#,##0_ "/>
    <numFmt numFmtId="178" formatCode="yyyy/m/d;@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6"/>
      <name val="ＭＳ Ｐゴシック"/>
      <family val="3"/>
      <charset val="128"/>
    </font>
    <font>
      <b/>
      <sz val="11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b/>
      <sz val="11"/>
      <color rgb="FF0070C0"/>
      <name val="Meiryo UI"/>
      <family val="3"/>
      <charset val="128"/>
    </font>
    <font>
      <b/>
      <sz val="14"/>
      <color rgb="FF0070C0"/>
      <name val="Meiryo UI"/>
      <family val="3"/>
      <charset val="128"/>
    </font>
    <font>
      <sz val="9"/>
      <name val="Meiryo UI"/>
      <family val="3"/>
      <charset val="128"/>
    </font>
    <font>
      <sz val="10"/>
      <name val="Meiryo UI"/>
      <family val="3"/>
      <charset val="128"/>
    </font>
    <font>
      <sz val="8"/>
      <name val="Meiryo UI"/>
      <family val="3"/>
      <charset val="128"/>
    </font>
    <font>
      <b/>
      <u val="double"/>
      <sz val="11"/>
      <name val="Meiryo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99CC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22"/>
      </bottom>
      <diagonal/>
    </border>
    <border>
      <left/>
      <right/>
      <top style="hair">
        <color indexed="22"/>
      </top>
      <bottom style="hair">
        <color indexed="22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38" fontId="2" fillId="0" borderId="1" xfId="1" applyFont="1" applyBorder="1" applyAlignment="1">
      <alignment vertical="center" shrinkToFit="1"/>
    </xf>
    <xf numFmtId="38" fontId="2" fillId="2" borderId="1" xfId="1" applyFont="1" applyFill="1" applyBorder="1" applyAlignment="1">
      <alignment horizontal="left" vertical="center" shrinkToFit="1"/>
    </xf>
    <xf numFmtId="38" fontId="2" fillId="2" borderId="1" xfId="1" applyFont="1" applyFill="1" applyBorder="1" applyAlignment="1">
      <alignment horizontal="center" vertical="center" shrinkToFit="1"/>
    </xf>
    <xf numFmtId="38" fontId="2" fillId="2" borderId="2" xfId="1" applyFont="1" applyFill="1" applyBorder="1" applyAlignment="1">
      <alignment horizontal="left" vertical="center" shrinkToFit="1"/>
    </xf>
    <xf numFmtId="38" fontId="4" fillId="3" borderId="1" xfId="1" applyFont="1" applyFill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38" fontId="2" fillId="0" borderId="0" xfId="1" applyFont="1" applyAlignment="1">
      <alignment vertical="center" shrinkToFit="1"/>
    </xf>
    <xf numFmtId="0" fontId="2" fillId="5" borderId="1" xfId="0" applyFont="1" applyFill="1" applyBorder="1" applyAlignment="1">
      <alignment horizontal="center" vertical="center" shrinkToFit="1"/>
    </xf>
    <xf numFmtId="0" fontId="4" fillId="5" borderId="1" xfId="0" applyFont="1" applyFill="1" applyBorder="1" applyAlignment="1">
      <alignment horizontal="center" vertical="center" shrinkToFit="1"/>
    </xf>
    <xf numFmtId="14" fontId="2" fillId="0" borderId="1" xfId="0" applyNumberFormat="1" applyFont="1" applyBorder="1" applyAlignment="1">
      <alignment vertical="center" shrinkToFit="1"/>
    </xf>
    <xf numFmtId="38" fontId="2" fillId="0" borderId="1" xfId="1" applyFont="1" applyFill="1" applyBorder="1" applyAlignment="1">
      <alignment vertical="center" shrinkToFit="1"/>
    </xf>
    <xf numFmtId="38" fontId="2" fillId="0" borderId="1" xfId="1" applyFont="1" applyFill="1" applyBorder="1" applyAlignment="1">
      <alignment horizontal="left" vertical="center" shrinkToFit="1"/>
    </xf>
    <xf numFmtId="38" fontId="2" fillId="0" borderId="1" xfId="1" applyFont="1" applyFill="1" applyBorder="1" applyAlignment="1">
      <alignment horizontal="center" vertical="center" shrinkToFit="1"/>
    </xf>
    <xf numFmtId="38" fontId="2" fillId="0" borderId="2" xfId="1" applyFont="1" applyFill="1" applyBorder="1" applyAlignment="1">
      <alignment horizontal="left" vertical="center" shrinkToFit="1"/>
    </xf>
    <xf numFmtId="0" fontId="2" fillId="0" borderId="2" xfId="0" applyFont="1" applyBorder="1" applyAlignment="1">
      <alignment vertical="center" shrinkToFit="1"/>
    </xf>
    <xf numFmtId="38" fontId="2" fillId="0" borderId="2" xfId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38" fontId="2" fillId="0" borderId="2" xfId="1" applyFont="1" applyFill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38" fontId="6" fillId="0" borderId="0" xfId="1" applyFont="1" applyAlignment="1">
      <alignment vertical="center" shrinkToFit="1"/>
    </xf>
    <xf numFmtId="0" fontId="7" fillId="0" borderId="0" xfId="0" applyFont="1" applyAlignment="1">
      <alignment vertical="center" shrinkToFit="1"/>
    </xf>
    <xf numFmtId="38" fontId="8" fillId="0" borderId="0" xfId="1" applyFont="1" applyAlignment="1">
      <alignment vertical="center" shrinkToFit="1"/>
    </xf>
    <xf numFmtId="0" fontId="2" fillId="0" borderId="0" xfId="0" applyFont="1" applyAlignment="1">
      <alignment horizontal="right" vertical="center" shrinkToFit="1"/>
    </xf>
    <xf numFmtId="176" fontId="2" fillId="0" borderId="3" xfId="0" applyNumberFormat="1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38" fontId="2" fillId="0" borderId="3" xfId="1" applyFont="1" applyBorder="1" applyAlignment="1">
      <alignment vertical="center" shrinkToFit="1"/>
    </xf>
    <xf numFmtId="38" fontId="4" fillId="2" borderId="0" xfId="1" applyFont="1" applyFill="1" applyBorder="1" applyAlignment="1">
      <alignment horizontal="center" vertical="center" shrinkToFit="1"/>
    </xf>
    <xf numFmtId="38" fontId="4" fillId="2" borderId="1" xfId="1" applyFont="1" applyFill="1" applyBorder="1" applyAlignment="1">
      <alignment horizontal="center" vertical="center" shrinkToFit="1"/>
    </xf>
    <xf numFmtId="177" fontId="2" fillId="0" borderId="0" xfId="0" applyNumberFormat="1" applyFont="1" applyAlignment="1">
      <alignment vertical="center" shrinkToFit="1"/>
    </xf>
    <xf numFmtId="178" fontId="2" fillId="0" borderId="0" xfId="0" applyNumberFormat="1" applyFont="1" applyAlignment="1">
      <alignment vertical="center" shrinkToFit="1"/>
    </xf>
    <xf numFmtId="176" fontId="2" fillId="0" borderId="0" xfId="0" applyNumberFormat="1" applyFont="1" applyAlignment="1">
      <alignment vertical="center" shrinkToFit="1"/>
    </xf>
    <xf numFmtId="176" fontId="9" fillId="4" borderId="0" xfId="0" applyNumberFormat="1" applyFont="1" applyFill="1" applyAlignment="1">
      <alignment vertical="center" wrapText="1" shrinkToFit="1"/>
    </xf>
    <xf numFmtId="0" fontId="2" fillId="4" borderId="3" xfId="0" applyFont="1" applyFill="1" applyBorder="1" applyAlignment="1">
      <alignment vertical="center" shrinkToFit="1"/>
    </xf>
    <xf numFmtId="38" fontId="2" fillId="4" borderId="1" xfId="1" applyFont="1" applyFill="1" applyBorder="1" applyAlignment="1">
      <alignment vertical="center" shrinkToFit="1"/>
    </xf>
    <xf numFmtId="176" fontId="9" fillId="0" borderId="0" xfId="0" applyNumberFormat="1" applyFont="1" applyAlignment="1">
      <alignment vertical="center" wrapText="1" shrinkToFit="1"/>
    </xf>
    <xf numFmtId="0" fontId="2" fillId="0" borderId="4" xfId="0" applyFont="1" applyBorder="1" applyAlignment="1">
      <alignment vertical="center" shrinkToFit="1"/>
    </xf>
    <xf numFmtId="38" fontId="2" fillId="0" borderId="4" xfId="1" applyFont="1" applyFill="1" applyBorder="1" applyAlignment="1">
      <alignment vertical="center" shrinkToFit="1"/>
    </xf>
    <xf numFmtId="0" fontId="2" fillId="4" borderId="4" xfId="0" applyFont="1" applyFill="1" applyBorder="1" applyAlignment="1">
      <alignment vertical="center" shrinkToFit="1"/>
    </xf>
    <xf numFmtId="0" fontId="2" fillId="4" borderId="0" xfId="0" applyFont="1" applyFill="1" applyAlignment="1">
      <alignment vertical="center" shrinkToFit="1"/>
    </xf>
    <xf numFmtId="38" fontId="2" fillId="0" borderId="0" xfId="1" applyFont="1" applyFill="1" applyAlignment="1">
      <alignment vertical="center" shrinkToFit="1"/>
    </xf>
    <xf numFmtId="38" fontId="4" fillId="0" borderId="0" xfId="1" applyFont="1" applyFill="1" applyBorder="1" applyAlignment="1">
      <alignment horizontal="center" vertical="center" shrinkToFit="1"/>
    </xf>
    <xf numFmtId="38" fontId="4" fillId="0" borderId="1" xfId="1" applyFont="1" applyFill="1" applyBorder="1" applyAlignment="1">
      <alignment horizontal="center" vertical="center" shrinkToFit="1"/>
    </xf>
    <xf numFmtId="38" fontId="2" fillId="0" borderId="3" xfId="1" applyFont="1" applyFill="1" applyBorder="1" applyAlignment="1">
      <alignment vertical="center" shrinkToFit="1"/>
    </xf>
    <xf numFmtId="0" fontId="10" fillId="6" borderId="0" xfId="0" applyFont="1" applyFill="1" applyAlignment="1">
      <alignment horizontal="right" vertical="center" shrinkToFit="1"/>
    </xf>
    <xf numFmtId="176" fontId="2" fillId="6" borderId="3" xfId="0" applyNumberFormat="1" applyFont="1" applyFill="1" applyBorder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2" fillId="6" borderId="0" xfId="0" applyFont="1" applyFill="1" applyAlignment="1">
      <alignment vertical="center" shrinkToFit="1"/>
    </xf>
    <xf numFmtId="176" fontId="10" fillId="0" borderId="0" xfId="0" applyNumberFormat="1" applyFont="1" applyAlignment="1">
      <alignment vertical="center" shrinkToFit="1"/>
    </xf>
    <xf numFmtId="176" fontId="10" fillId="0" borderId="3" xfId="0" applyNumberFormat="1" applyFont="1" applyBorder="1" applyAlignment="1">
      <alignment vertical="center" shrinkToFit="1"/>
    </xf>
    <xf numFmtId="0" fontId="2" fillId="6" borderId="4" xfId="0" applyFont="1" applyFill="1" applyBorder="1" applyAlignment="1">
      <alignment vertical="center" shrinkToFit="1"/>
    </xf>
    <xf numFmtId="176" fontId="11" fillId="4" borderId="0" xfId="0" applyNumberFormat="1" applyFont="1" applyFill="1" applyAlignment="1">
      <alignment vertical="center" wrapText="1" shrinkToFit="1"/>
    </xf>
    <xf numFmtId="38" fontId="2" fillId="0" borderId="4" xfId="1" applyFont="1" applyBorder="1" applyAlignment="1">
      <alignment vertical="center" shrinkToFit="1"/>
    </xf>
    <xf numFmtId="0" fontId="10" fillId="7" borderId="0" xfId="0" applyFont="1" applyFill="1" applyAlignment="1">
      <alignment vertical="center" shrinkToFit="1"/>
    </xf>
    <xf numFmtId="0" fontId="4" fillId="7" borderId="0" xfId="0" applyFont="1" applyFill="1" applyAlignment="1">
      <alignment vertical="center" shrinkToFit="1"/>
    </xf>
    <xf numFmtId="0" fontId="4" fillId="8" borderId="0" xfId="0" applyFont="1" applyFill="1" applyAlignment="1">
      <alignment vertical="center" shrinkToFit="1"/>
    </xf>
    <xf numFmtId="0" fontId="4" fillId="8" borderId="4" xfId="0" applyFont="1" applyFill="1" applyBorder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38" fontId="2" fillId="0" borderId="0" xfId="0" applyNumberFormat="1" applyFont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CB862-87F5-486B-91E0-FF23A0E355FF}">
  <sheetPr>
    <tabColor rgb="FF00B0F0"/>
  </sheetPr>
  <dimension ref="A1:W116"/>
  <sheetViews>
    <sheetView tabSelected="1" zoomScaleNormal="100" workbookViewId="0">
      <pane ySplit="1" topLeftCell="A2" activePane="bottomLeft" state="frozen"/>
      <selection pane="bottomLeft" activeCell="F13" sqref="F13"/>
    </sheetView>
  </sheetViews>
  <sheetFormatPr defaultColWidth="13" defaultRowHeight="15.75" outlineLevelCol="1" x14ac:dyDescent="0.15"/>
  <cols>
    <col min="1" max="1" width="9.375" style="9" customWidth="1"/>
    <col min="2" max="2" width="7.25" style="9" customWidth="1"/>
    <col min="3" max="3" width="15.125" style="9" customWidth="1"/>
    <col min="4" max="4" width="12.25" style="10" customWidth="1"/>
    <col min="5" max="11" width="9" style="10" customWidth="1" outlineLevel="1"/>
    <col min="12" max="12" width="10.875" style="10" customWidth="1" outlineLevel="1"/>
    <col min="13" max="13" width="15.375" style="9" customWidth="1"/>
    <col min="14" max="14" width="8.625" style="10" customWidth="1"/>
    <col min="15" max="15" width="7.875" style="9" customWidth="1"/>
    <col min="16" max="16" width="41.75" style="9" customWidth="1"/>
    <col min="17" max="17" width="11.625" style="9" customWidth="1"/>
    <col min="18" max="18" width="5.125" style="9" customWidth="1"/>
    <col min="19" max="19" width="9.125" style="10" bestFit="1" customWidth="1"/>
    <col min="20" max="20" width="3.625" style="9" customWidth="1"/>
    <col min="21" max="21" width="19.875" style="9" customWidth="1"/>
    <col min="22" max="22" width="39.875" style="9" hidden="1" customWidth="1"/>
    <col min="23" max="23" width="6.375" style="9" customWidth="1"/>
    <col min="24" max="16384" width="13" style="9"/>
  </cols>
  <sheetData>
    <row r="1" spans="1:23" x14ac:dyDescent="0.1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6" t="s">
        <v>10</v>
      </c>
      <c r="L1" s="4" t="s">
        <v>11</v>
      </c>
      <c r="M1" s="2" t="s">
        <v>12</v>
      </c>
      <c r="N1" s="7" t="s">
        <v>13</v>
      </c>
      <c r="O1" s="8" t="s">
        <v>14</v>
      </c>
      <c r="P1" s="1" t="s">
        <v>15</v>
      </c>
      <c r="Q1" s="2" t="s">
        <v>16</v>
      </c>
      <c r="R1" s="9" t="s">
        <v>17</v>
      </c>
      <c r="S1" s="10" t="s">
        <v>18</v>
      </c>
      <c r="U1" s="11" t="s">
        <v>12</v>
      </c>
      <c r="V1" s="12" t="s">
        <v>13</v>
      </c>
      <c r="W1" s="11" t="s">
        <v>14</v>
      </c>
    </row>
    <row r="2" spans="1:23" x14ac:dyDescent="0.15">
      <c r="A2" s="13"/>
      <c r="B2" s="13"/>
      <c r="C2" s="1"/>
      <c r="D2" s="14"/>
      <c r="E2" s="15"/>
      <c r="F2" s="15"/>
      <c r="G2" s="16"/>
      <c r="H2" s="15"/>
      <c r="I2" s="15"/>
      <c r="J2" s="15"/>
      <c r="K2" s="17"/>
      <c r="L2" s="15"/>
      <c r="M2" s="18"/>
      <c r="N2" s="19"/>
      <c r="O2" s="18"/>
      <c r="P2" s="1"/>
      <c r="Q2" s="13"/>
    </row>
    <row r="3" spans="1:23" x14ac:dyDescent="0.15">
      <c r="A3" s="13"/>
      <c r="B3" s="13"/>
      <c r="C3" s="1"/>
      <c r="D3" s="14"/>
      <c r="M3" s="20"/>
      <c r="N3" s="19"/>
      <c r="O3" s="18"/>
      <c r="P3" s="1"/>
      <c r="Q3" s="13"/>
      <c r="U3"/>
      <c r="V3"/>
      <c r="W3"/>
    </row>
    <row r="4" spans="1:23" x14ac:dyDescent="0.15">
      <c r="A4" s="13"/>
      <c r="B4" s="13"/>
      <c r="C4" s="1"/>
      <c r="D4" s="14">
        <f>SUBTOTAL(9,D2:D2)</f>
        <v>0</v>
      </c>
      <c r="M4" s="20" t="s">
        <v>31</v>
      </c>
      <c r="P4" s="1"/>
      <c r="Q4" s="13"/>
      <c r="U4"/>
      <c r="V4"/>
      <c r="W4"/>
    </row>
    <row r="5" spans="1:23" x14ac:dyDescent="0.15">
      <c r="A5" s="13"/>
      <c r="B5" s="13"/>
      <c r="C5" s="1"/>
      <c r="D5" s="14"/>
      <c r="M5" s="18"/>
      <c r="P5" s="1"/>
      <c r="Q5" s="13"/>
      <c r="U5"/>
      <c r="V5"/>
      <c r="W5"/>
    </row>
    <row r="6" spans="1:23" x14ac:dyDescent="0.15">
      <c r="A6" s="13"/>
      <c r="B6" s="13"/>
      <c r="C6" s="1"/>
      <c r="D6" s="3"/>
      <c r="M6" s="18"/>
      <c r="P6" s="1"/>
      <c r="Q6" s="13"/>
      <c r="U6"/>
      <c r="V6"/>
      <c r="W6"/>
    </row>
    <row r="7" spans="1:23" x14ac:dyDescent="0.15">
      <c r="A7" s="13"/>
      <c r="B7" s="13"/>
      <c r="C7" s="1"/>
      <c r="D7" s="3"/>
      <c r="M7" s="18"/>
      <c r="P7" s="1"/>
      <c r="Q7" s="13"/>
      <c r="U7"/>
      <c r="V7"/>
      <c r="W7"/>
    </row>
    <row r="8" spans="1:23" x14ac:dyDescent="0.15">
      <c r="A8" s="13"/>
      <c r="B8" s="1"/>
      <c r="C8" s="1"/>
      <c r="D8" s="3"/>
      <c r="M8" s="18"/>
      <c r="P8" s="1"/>
      <c r="Q8" s="13"/>
      <c r="U8"/>
      <c r="V8"/>
      <c r="W8"/>
    </row>
    <row r="9" spans="1:23" ht="19.5" x14ac:dyDescent="0.15">
      <c r="C9" s="22" t="s">
        <v>32</v>
      </c>
      <c r="D9" s="23">
        <f>SUM(D13:D17,D20:D23,D29:D36,D43,D46:D47,D60,D62,D37:D38,D65,D67:D68)</f>
        <v>0</v>
      </c>
      <c r="U9"/>
      <c r="V9"/>
      <c r="W9"/>
    </row>
    <row r="10" spans="1:23" ht="19.5" x14ac:dyDescent="0.15">
      <c r="C10" s="24" t="s">
        <v>33</v>
      </c>
      <c r="D10" s="25">
        <f>SUBTOTAL(9,D20:D23,D29:D38,D46:D47,D60)</f>
        <v>0</v>
      </c>
      <c r="U10"/>
      <c r="V10"/>
      <c r="W10"/>
    </row>
    <row r="11" spans="1:23" x14ac:dyDescent="0.15">
      <c r="M11" s="26" t="s">
        <v>34</v>
      </c>
      <c r="U11"/>
      <c r="V11"/>
      <c r="W11"/>
    </row>
    <row r="12" spans="1:23" x14ac:dyDescent="0.15">
      <c r="A12" s="27" t="s">
        <v>35</v>
      </c>
      <c r="B12" s="27"/>
      <c r="C12" s="28"/>
      <c r="D12" s="29">
        <f>SUM(D13:D17)</f>
        <v>0</v>
      </c>
      <c r="E12" s="30" t="s">
        <v>36</v>
      </c>
      <c r="F12" s="30" t="s">
        <v>37</v>
      </c>
      <c r="G12" s="30" t="s">
        <v>38</v>
      </c>
      <c r="H12" s="30" t="s">
        <v>20</v>
      </c>
      <c r="I12" s="31" t="s">
        <v>39</v>
      </c>
      <c r="J12" s="30" t="s">
        <v>22</v>
      </c>
      <c r="K12" s="30" t="s">
        <v>23</v>
      </c>
      <c r="L12" s="31" t="s">
        <v>40</v>
      </c>
      <c r="M12" s="32">
        <v>53890389</v>
      </c>
      <c r="P12" s="32">
        <f t="shared" ref="P12:P17" si="0">D12-M12</f>
        <v>-53890389</v>
      </c>
      <c r="Q12" s="33"/>
      <c r="U12"/>
      <c r="V12"/>
      <c r="W12"/>
    </row>
    <row r="13" spans="1:23" ht="24" x14ac:dyDescent="0.15">
      <c r="A13" s="34" t="s">
        <v>41</v>
      </c>
      <c r="B13" s="35" t="s">
        <v>42</v>
      </c>
      <c r="C13" s="36" t="s">
        <v>24</v>
      </c>
      <c r="D13" s="29">
        <f>SUMIF($C$2:$C$8,"手数料収入",$D$2:$D$8)</f>
        <v>0</v>
      </c>
      <c r="E13" s="37">
        <f>SUMIFS($D$1:$D$2,$C$1:$C$2,"手数料収入",$O$1:$O$2,"八重洲")</f>
        <v>0</v>
      </c>
      <c r="F13" s="37">
        <f>SUMIFS($D$1:$D$2,$C$1:$C$2,"手数料収入",$O$1:$O$2,"滋賀")</f>
        <v>0</v>
      </c>
      <c r="G13" s="37">
        <f>SUMIFS($D$1:$D$2,$C$1:$C$2,"手数料収入",$O$1:$O$2,"神戸")</f>
        <v>0</v>
      </c>
      <c r="H13" s="37">
        <f>SUMIFS($D$1:$D$2,$C$1:$C$2,"手数料収入",$O$1:$O$2,"名古屋")</f>
        <v>0</v>
      </c>
      <c r="I13" s="37">
        <f>SUMIFS($D$1:$D$2,$C$1:$C$2,"手数料収入",$O$1:$O$2,"福岡(宮崎)")</f>
        <v>0</v>
      </c>
      <c r="J13" s="37">
        <f>SUMIFS($D$1:$D$2,$C$1:$C$2,"手数料収入",$O$1:$O$2,"仙台")</f>
        <v>0</v>
      </c>
      <c r="K13" s="37">
        <f>SUMIFS($D$1:$D$2,$C$1:$C$2,"手数料収入",$O$1:$O$2,"本部")</f>
        <v>0</v>
      </c>
      <c r="L13" s="37">
        <f>SUMIFS($D$1:$D$2,$C$1:$C$2,"手数料収入",$O$1:$O$2,"札幌")</f>
        <v>0</v>
      </c>
      <c r="M13" s="32">
        <v>41500519</v>
      </c>
      <c r="P13" s="32">
        <f t="shared" si="0"/>
        <v>-41500519</v>
      </c>
      <c r="Q13" s="33"/>
      <c r="U13"/>
      <c r="V13"/>
      <c r="W13"/>
    </row>
    <row r="14" spans="1:23" x14ac:dyDescent="0.15">
      <c r="A14" s="34"/>
      <c r="B14" s="38"/>
      <c r="C14" s="39" t="s">
        <v>43</v>
      </c>
      <c r="D14" s="40">
        <f>SUMIF($C$2:$C$8,"建設手数料収入",$D$2:$D$8)</f>
        <v>0</v>
      </c>
      <c r="E14" s="14">
        <f>SUMIFS($D$1:$D$2,$C$1:$C$2,"建設手数料収入",$O$1:$O$2,"八重洲")</f>
        <v>0</v>
      </c>
      <c r="F14" s="14">
        <f>SUMIFS($D$1:$D$2,$C$1:$C$2,"建設手数料収入",$O$1:$O$2,"滋賀")</f>
        <v>0</v>
      </c>
      <c r="G14" s="14">
        <f>SUMIFS($D$1:$D$2,$C$1:$C$2,"建設手数料収入",$O$1:$O$2,"神戸")</f>
        <v>0</v>
      </c>
      <c r="H14" s="14">
        <f>SUMIFS($D$1:$D$2,$C$1:$C$2,"建設手数料収入",$O$1:$O$2,"名古屋")</f>
        <v>0</v>
      </c>
      <c r="I14" s="14">
        <f>SUMIFS($D$1:$D$2,$C$1:$C$2,"建設手数料収入",$O$1:$O$2,"宮崎")</f>
        <v>0</v>
      </c>
      <c r="J14" s="14">
        <f>SUMIFS($D$1:$D$2,$C$1:$C$2,"建設手数料収入",$O$1:$O$2,"仙台")</f>
        <v>0</v>
      </c>
      <c r="K14" s="14">
        <f>SUMIFS($D$1:$D$2,$C$1:$C$2,"建設手数料収入",$O$1:$O$2,"本部")</f>
        <v>0</v>
      </c>
      <c r="L14" s="14">
        <f>SUMIFS($D$1:$D$2,$C$1:$C$2,"建設手数料収入",$O$1:$O$2,"札幌")</f>
        <v>0</v>
      </c>
      <c r="M14" s="32">
        <v>0</v>
      </c>
      <c r="P14" s="32">
        <f t="shared" si="0"/>
        <v>0</v>
      </c>
      <c r="U14"/>
      <c r="V14"/>
      <c r="W14"/>
    </row>
    <row r="15" spans="1:23" ht="24" x14ac:dyDescent="0.15">
      <c r="A15" s="34"/>
      <c r="B15" s="35" t="s">
        <v>42</v>
      </c>
      <c r="C15" s="41" t="s">
        <v>44</v>
      </c>
      <c r="D15" s="40">
        <f>SUMIF($C$2:$C$8,"特技手数料収入",$D$2:$D$8)</f>
        <v>0</v>
      </c>
      <c r="E15" s="37">
        <f>SUMIFS($D$1:$D$2,$C$1:$C$2,"特技手数料収入",$O$1:$O$2,"八重洲")</f>
        <v>0</v>
      </c>
      <c r="F15" s="37">
        <f>SUMIFS($D$1:$D$2,$C$1:$C$2,"特技手数料収入",$O$1:$O$2,"滋賀")</f>
        <v>0</v>
      </c>
      <c r="G15" s="37">
        <f>SUMIFS($D$1:$D$2,$C$1:$C$2,"特技手数料収入",$O$1:$O$2,"神戸")</f>
        <v>0</v>
      </c>
      <c r="H15" s="37">
        <f>SUMIFS($D$1:$D$2,$C$1:$C$2,"特技手数料収入",$O$1:$O$2,"名古屋")</f>
        <v>0</v>
      </c>
      <c r="I15" s="37">
        <f>SUMIFS($D$1:$D$2,$C$1:$C$2,"特技手数料収入",$O$1:$O$2,"福岡(宮崎)")</f>
        <v>0</v>
      </c>
      <c r="J15" s="37">
        <f>SUMIFS($D$1:$D$2,$C$1:$C$2,"特技手数料収入",$O$1:$O$2,"仙台")</f>
        <v>0</v>
      </c>
      <c r="K15" s="37">
        <f>SUMIFS($D$1:$D$2,$C$1:$C$2,"特技手数料収入",$O$1:$O$2,"本部")</f>
        <v>0</v>
      </c>
      <c r="L15" s="37">
        <f>SUMIFS($D$1:$D$2,$C$1:$C$2,"特技手数料収入",$O$1:$O$2,"札幌")</f>
        <v>0</v>
      </c>
      <c r="M15" s="32">
        <v>12389870</v>
      </c>
      <c r="P15" s="32">
        <f t="shared" si="0"/>
        <v>-12389870</v>
      </c>
      <c r="U15"/>
      <c r="V15"/>
      <c r="W15"/>
    </row>
    <row r="16" spans="1:23" x14ac:dyDescent="0.15">
      <c r="A16" s="34"/>
      <c r="B16" s="38"/>
      <c r="C16" s="39" t="s">
        <v>45</v>
      </c>
      <c r="D16" s="40">
        <f>SUMIF($C$2:$C$8,"その他収入",$D$2:$D$8)</f>
        <v>0</v>
      </c>
      <c r="E16" s="14"/>
      <c r="F16" s="14"/>
      <c r="G16" s="14"/>
      <c r="H16" s="14"/>
      <c r="I16" s="14"/>
      <c r="J16" s="14"/>
      <c r="K16" s="21"/>
      <c r="L16" s="14"/>
      <c r="M16" s="32">
        <v>0</v>
      </c>
      <c r="P16" s="32">
        <f t="shared" si="0"/>
        <v>0</v>
      </c>
      <c r="Q16" s="33"/>
      <c r="U16"/>
      <c r="V16"/>
      <c r="W16"/>
    </row>
    <row r="17" spans="1:23" ht="24" x14ac:dyDescent="0.15">
      <c r="A17" s="34"/>
      <c r="B17" s="35" t="s">
        <v>42</v>
      </c>
      <c r="C17" s="42" t="s">
        <v>46</v>
      </c>
      <c r="D17" s="40">
        <f>SUMIF($C$2:$C$8,"特定活動支援手数料",$D$2:$D$8)</f>
        <v>0</v>
      </c>
      <c r="E17" s="37">
        <f>SUMIFS($D$1:$D$2,$C$1:$C$2,"特定活動支援手数料",$O$1:$O$2,"八重洲")</f>
        <v>0</v>
      </c>
      <c r="F17" s="37">
        <f>SUMIFS($D$1:$D$2,$C$1:$C$2,"特定活動支援手数料",$O$1:$O$2,"滋賀")</f>
        <v>0</v>
      </c>
      <c r="G17" s="37">
        <f>SUMIFS($D$1:$D$2,$C$1:$C$2,"特定活動支援手数料",$O$1:$O$2,"神戸")</f>
        <v>0</v>
      </c>
      <c r="H17" s="37">
        <f>SUMIFS($D$1:$D$2,$C$1:$C$2,"特定活動支援手数料",$O$1:$O$2,"名古屋")</f>
        <v>0</v>
      </c>
      <c r="I17" s="37">
        <f>SUMIFS($D$1:$D$2,$C$1:$C$2,"特定活動支援手数料",$O$1:$O$2,"福岡(宮崎)")</f>
        <v>0</v>
      </c>
      <c r="J17" s="37">
        <f>SUMIFS($D$1:$D$2,$C$1:$C$2,"特定活動支援手数料",$O$1:$O$2,"仙台")</f>
        <v>0</v>
      </c>
      <c r="K17" s="37">
        <f>SUMIFS($D$1:$D$2,$C$1:$C$2,"特定活動支援手数料",$O$1:$O$2,"本部")</f>
        <v>0</v>
      </c>
      <c r="L17" s="37">
        <f>SUMIFS($D$1:$D$2,$C$1:$C$2,"特定活動支援手数料",$O$1:$O$2,"札幌")</f>
        <v>0</v>
      </c>
      <c r="M17" s="32">
        <v>0</v>
      </c>
      <c r="P17" s="32">
        <f t="shared" si="0"/>
        <v>0</v>
      </c>
      <c r="Q17" s="33"/>
      <c r="U17"/>
      <c r="V17"/>
      <c r="W17"/>
    </row>
    <row r="18" spans="1:23" x14ac:dyDescent="0.15">
      <c r="A18" s="34"/>
      <c r="B18" s="34"/>
      <c r="D18" s="43"/>
      <c r="E18" s="44"/>
      <c r="F18" s="44"/>
      <c r="G18" s="44"/>
      <c r="H18" s="44"/>
      <c r="I18" s="45"/>
      <c r="J18" s="44"/>
      <c r="K18" s="44"/>
      <c r="L18" s="45"/>
      <c r="M18" s="32"/>
      <c r="P18" s="32"/>
      <c r="Q18" s="33"/>
      <c r="U18"/>
      <c r="V18"/>
      <c r="W18"/>
    </row>
    <row r="19" spans="1:23" x14ac:dyDescent="0.15">
      <c r="A19" s="27" t="s">
        <v>21</v>
      </c>
      <c r="B19" s="27"/>
      <c r="C19" s="28"/>
      <c r="D19" s="46">
        <f>SUM(D20:D23)</f>
        <v>0</v>
      </c>
      <c r="E19" s="14"/>
      <c r="F19" s="14"/>
      <c r="G19" s="14"/>
      <c r="H19" s="14"/>
      <c r="I19" s="14"/>
      <c r="J19" s="14"/>
      <c r="K19" s="21"/>
      <c r="L19" s="14"/>
      <c r="M19" s="32">
        <v>12352323</v>
      </c>
      <c r="P19" s="32">
        <f>D19-M19</f>
        <v>-12352323</v>
      </c>
      <c r="U19"/>
      <c r="V19"/>
      <c r="W19"/>
    </row>
    <row r="20" spans="1:23" x14ac:dyDescent="0.15">
      <c r="A20" s="34" t="s">
        <v>41</v>
      </c>
      <c r="B20" s="47" t="s">
        <v>47</v>
      </c>
      <c r="C20" s="48" t="s">
        <v>48</v>
      </c>
      <c r="D20" s="46">
        <f>SUMIF($C$2:$C$8,"派遣機関ﾌｨｰ受入",$D$2:$D$8)</f>
        <v>0</v>
      </c>
      <c r="E20" s="37">
        <f>SUMIFS($D$1:$D$2,$C$1:$C$2,"派遣機関ﾌｨｰ受入",$O$1:$O$2,"八重洲")</f>
        <v>0</v>
      </c>
      <c r="F20" s="37">
        <f>SUMIFS($D$1:$D$2,$C$1:$C$2,"派遣機関ﾌｨｰ受入",$O$1:$O$2,"滋賀")</f>
        <v>0</v>
      </c>
      <c r="G20" s="37">
        <f>SUMIFS($D$1:$D$2,$C$1:$C$2,"派遣機関ﾌｨｰ受入",$O$1:$O$2,"神戸")</f>
        <v>0</v>
      </c>
      <c r="H20" s="37">
        <f>SUMIFS($D$1:$D$2,$C$1:$C$2,"派遣機関ﾌｨｰ受入",$O$1:$O$2,"名古屋")</f>
        <v>0</v>
      </c>
      <c r="I20" s="37">
        <f>SUMIFS($D$1:$D$2,$C$1:$C$2,"派遣機関ﾌｨｰ受入",$O$1:$O$2,"福岡(宮崎)")</f>
        <v>0</v>
      </c>
      <c r="J20" s="37">
        <f>SUMIFS($D$1:$D$2,$C$1:$C$2,"派遣機関ﾌｨｰ受入",$O$1:$O$2,"仙台")</f>
        <v>0</v>
      </c>
      <c r="K20" s="37">
        <f>SUMIFS($D$1:$D$2,$C$1:$C$2,"派遣機関ﾌｨｰ受入",$O$1:$O$2,"本部")</f>
        <v>0</v>
      </c>
      <c r="L20" s="37">
        <f>SUMIFS($D$1:$D$2,$C$1:$C$2,"派遣機関ﾌｨｰ受入",$O$1:$O$2,"札幌")</f>
        <v>0</v>
      </c>
      <c r="M20" s="32">
        <v>9495997</v>
      </c>
      <c r="P20" s="32">
        <f t="shared" ref="P20:P63" si="1">D20-M20</f>
        <v>-9495997</v>
      </c>
      <c r="U20"/>
      <c r="V20"/>
      <c r="W20"/>
    </row>
    <row r="21" spans="1:23" x14ac:dyDescent="0.15">
      <c r="B21" s="49"/>
      <c r="C21" s="39" t="s">
        <v>49</v>
      </c>
      <c r="D21" s="40">
        <f>SUMIF($C$2:$C$8,"建設派遣機関ﾌｨｰ受入",$D$2:$D$8)</f>
        <v>0</v>
      </c>
      <c r="E21" s="14">
        <f>SUMIFS($D$1:$D$2,$C$1:$C$2,"建設派遣機関ﾌｨｰ受入",$O$1:$O$2,"八重洲")</f>
        <v>0</v>
      </c>
      <c r="F21" s="14">
        <f>SUMIFS($D$1:$D$2,$C$1:$C$2,"建設派遣機関ﾌｨｰ受入",$O$1:$O$2,"滋賀")</f>
        <v>0</v>
      </c>
      <c r="G21" s="14">
        <f>SUMIFS($D$1:$D$2,$C$1:$C$2,"建設派遣機関ﾌｨｰ受入",$O$1:$O$2,"神戸")</f>
        <v>0</v>
      </c>
      <c r="H21" s="14">
        <f>SUMIFS($D$1:$D$2,$C$1:$C$2,"建設派遣機関ﾌｨｰ受入",$O$1:$O$2,"名古屋")</f>
        <v>0</v>
      </c>
      <c r="I21" s="14">
        <f>SUMIFS($D$1:$D$2,$C$1:$C$2,"建設派遣機関ﾌｨｰ受入",$O$1:$O$2,"宮崎")</f>
        <v>0</v>
      </c>
      <c r="J21" s="14">
        <f>SUMIFS($D$1:$D$2,$C$1:$C$2,"建設派遣機関ﾌｨｰ受入",$O$1:$O$2,"仙台")</f>
        <v>0</v>
      </c>
      <c r="K21" s="14">
        <f>SUMIFS($D$1:$D$2,$C$1:$C$2,"建設派遣機関ﾌｨｰ受入",$O$1:$O$2,"本部")</f>
        <v>0</v>
      </c>
      <c r="L21" s="14">
        <f>SUMIFS($D$1:$D$2,$C$1:$C$2,"建設派遣機関ﾌｨｰ受入",$O$1:$O$2,"札幌")</f>
        <v>0</v>
      </c>
      <c r="M21" s="32">
        <v>0</v>
      </c>
      <c r="P21" s="32">
        <f t="shared" si="1"/>
        <v>0</v>
      </c>
      <c r="U21"/>
      <c r="V21"/>
      <c r="W21"/>
    </row>
    <row r="22" spans="1:23" x14ac:dyDescent="0.15">
      <c r="B22" s="47" t="s">
        <v>47</v>
      </c>
      <c r="C22" s="50" t="s">
        <v>26</v>
      </c>
      <c r="D22" s="40">
        <f>SUMIF($C$2:$C$8,"特技派遣機関ﾌｨｰ受入",$D$2:$D$8)</f>
        <v>0</v>
      </c>
      <c r="E22" s="37">
        <f>SUMIFS($D$1:$D$2,$C$1:$C$2,"特技派遣機関ﾌｨｰ受入",$O$1:$O$2,"八重洲")</f>
        <v>0</v>
      </c>
      <c r="F22" s="37">
        <f>SUMIFS($D$1:$D$2,$C$1:$C$2,"特技派遣機関ﾌｨｰ受入",$O$1:$O$2,"滋賀")</f>
        <v>0</v>
      </c>
      <c r="G22" s="37">
        <f>SUMIFS($D$1:$D$2,$C$1:$C$2,"特技派遣機関ﾌｨｰ受入",$O$1:$O$2,"神戸")</f>
        <v>0</v>
      </c>
      <c r="H22" s="37">
        <f>SUMIFS($D$1:$D$2,$C$1:$C$2,"特技派遣機関ﾌｨｰ受入",$O$1:$O$2,"名古屋")</f>
        <v>0</v>
      </c>
      <c r="I22" s="37">
        <f>SUMIFS($D$1:$D$2,$C$1:$C$2,"特技派遣機関ﾌｨｰ受入",$O$1:$O$2,"福岡(宮崎)")</f>
        <v>0</v>
      </c>
      <c r="J22" s="37">
        <f>SUMIFS($D$1:$D$2,$C$1:$C$2,"特技派遣機関ﾌｨｰ受入",$O$1:$O$2,"仙台")</f>
        <v>0</v>
      </c>
      <c r="K22" s="37">
        <f>SUMIFS($D$1:$D$2,$C$1:$C$2,"特技派遣機関ﾌｨｰ受入",$O$1:$O$2,"本部")</f>
        <v>0</v>
      </c>
      <c r="L22" s="37">
        <f>SUMIFS($D$1:$D$2,$C$1:$C$2,"特技派遣機関ﾌｨｰ受入",$O$1:$O$2,"札幌")</f>
        <v>0</v>
      </c>
      <c r="M22" s="32">
        <v>2666326</v>
      </c>
      <c r="P22" s="32">
        <f t="shared" si="1"/>
        <v>-2666326</v>
      </c>
      <c r="U22"/>
      <c r="V22"/>
      <c r="W22"/>
    </row>
    <row r="23" spans="1:23" x14ac:dyDescent="0.15">
      <c r="A23" s="34"/>
      <c r="B23" s="47" t="s">
        <v>47</v>
      </c>
      <c r="C23" s="50" t="s">
        <v>30</v>
      </c>
      <c r="D23" s="40">
        <f>SUMIF($C$2:$C$8,"共同情報提供料受入",$D$2:$D$8)</f>
        <v>0</v>
      </c>
      <c r="E23" s="37">
        <f>SUMIFS($D$1:$D$2,$C$1:$C$2,"共同情報提供料受入",$O$1:$O$2,"八重洲")</f>
        <v>0</v>
      </c>
      <c r="F23" s="37">
        <f>SUMIFS($D$1:$D$2,$C$1:$C$2,"共同情報提供料受入",$O$1:$O$2,"滋賀")</f>
        <v>0</v>
      </c>
      <c r="G23" s="37">
        <f>SUMIFS($D$1:$D$2,$C$1:$C$2,"共同情報提供料受入",$O$1:$O$2,"神戸")</f>
        <v>0</v>
      </c>
      <c r="H23" s="37">
        <f>SUMIFS($D$1:$D$2,$C$1:$C$2,"共同情報提供料受入",$O$1:$O$2,"名古屋")</f>
        <v>0</v>
      </c>
      <c r="I23" s="37">
        <f>SUMIFS($D$1:$D$2,$C$1:$C$2,"共同情報提供料受入",$O$1:$O$2,"福岡(宮崎)")</f>
        <v>0</v>
      </c>
      <c r="J23" s="37">
        <f>SUMIFS($D$1:$D$2,$C$1:$C$2,"共同情報提供料受入",$O$1:$O$2,"仙台")</f>
        <v>0</v>
      </c>
      <c r="K23" s="37">
        <f>SUMIFS($D$1:$D$2,$C$1:$C$2,"共同情報提供料受入",$O$1:$O$2,"本部")</f>
        <v>0</v>
      </c>
      <c r="L23" s="37">
        <f>SUMIFS($D$1:$D$2,$C$1:$C$2,"共同情報提供料受入",$O$1:$O$2,"札幌")</f>
        <v>0</v>
      </c>
      <c r="M23" s="32">
        <v>190000</v>
      </c>
      <c r="P23" s="32">
        <f t="shared" si="1"/>
        <v>-190000</v>
      </c>
      <c r="Q23" s="33"/>
      <c r="U23"/>
      <c r="V23"/>
      <c r="W23"/>
    </row>
    <row r="24" spans="1:23" x14ac:dyDescent="0.15">
      <c r="A24" s="34"/>
      <c r="B24" s="51"/>
      <c r="D24" s="46"/>
      <c r="E24" s="14"/>
      <c r="F24" s="14"/>
      <c r="G24" s="14"/>
      <c r="H24" s="14"/>
      <c r="I24" s="14"/>
      <c r="J24" s="14"/>
      <c r="K24" s="21"/>
      <c r="L24" s="14"/>
      <c r="M24" s="32"/>
      <c r="P24" s="32"/>
      <c r="Q24" s="33"/>
      <c r="U24"/>
      <c r="V24"/>
      <c r="W24"/>
    </row>
    <row r="25" spans="1:23" x14ac:dyDescent="0.15">
      <c r="A25" s="27" t="s">
        <v>50</v>
      </c>
      <c r="B25" s="52"/>
      <c r="C25" s="28"/>
      <c r="D25" s="46">
        <f>SUM(D26:D67)</f>
        <v>0</v>
      </c>
      <c r="E25" s="14"/>
      <c r="F25" s="14"/>
      <c r="G25" s="14"/>
      <c r="H25" s="14"/>
      <c r="I25" s="14"/>
      <c r="J25" s="14"/>
      <c r="K25" s="21"/>
      <c r="L25" s="14"/>
      <c r="M25" s="32">
        <v>23100981</v>
      </c>
      <c r="P25" s="32">
        <f t="shared" si="1"/>
        <v>-23100981</v>
      </c>
      <c r="Q25" s="33"/>
      <c r="U25"/>
      <c r="V25"/>
      <c r="W25"/>
    </row>
    <row r="26" spans="1:23" x14ac:dyDescent="0.15">
      <c r="A26" s="34" t="s">
        <v>41</v>
      </c>
      <c r="B26" s="51"/>
      <c r="C26" s="28" t="s">
        <v>51</v>
      </c>
      <c r="D26" s="46">
        <f>SUMIF($C$2:$C$8,"立替金",$D$2:$D$8)</f>
        <v>0</v>
      </c>
      <c r="E26" s="14"/>
      <c r="F26" s="14"/>
      <c r="G26" s="14"/>
      <c r="H26" s="14"/>
      <c r="I26" s="14"/>
      <c r="J26" s="14"/>
      <c r="K26" s="21"/>
      <c r="L26" s="14"/>
      <c r="M26" s="32">
        <v>470816</v>
      </c>
      <c r="P26" s="32">
        <f t="shared" si="1"/>
        <v>-470816</v>
      </c>
      <c r="U26"/>
      <c r="V26"/>
      <c r="W26"/>
    </row>
    <row r="27" spans="1:23" x14ac:dyDescent="0.15">
      <c r="A27" s="34"/>
      <c r="B27" s="51"/>
      <c r="C27" s="39" t="s">
        <v>52</v>
      </c>
      <c r="D27" s="40">
        <f>SUMIF($C$2:$C$8,"その他　受入",$D$2:$D$8)</f>
        <v>0</v>
      </c>
      <c r="E27" s="14"/>
      <c r="F27" s="14"/>
      <c r="G27" s="14"/>
      <c r="H27" s="14"/>
      <c r="I27" s="14"/>
      <c r="J27" s="14"/>
      <c r="K27" s="21"/>
      <c r="L27" s="14"/>
      <c r="M27" s="32">
        <v>0</v>
      </c>
      <c r="P27" s="32">
        <f t="shared" si="1"/>
        <v>0</v>
      </c>
      <c r="U27"/>
      <c r="V27"/>
      <c r="W27"/>
    </row>
    <row r="28" spans="1:23" x14ac:dyDescent="0.15">
      <c r="A28" s="10">
        <f>D4-D12-D19-D25</f>
        <v>0</v>
      </c>
      <c r="B28" s="51"/>
      <c r="C28" s="39" t="s">
        <v>53</v>
      </c>
      <c r="D28" s="40">
        <f>SUMIF($C$2:$C$8,"集合研修費受入",$D$2:$D$8)</f>
        <v>0</v>
      </c>
      <c r="E28" s="14"/>
      <c r="F28" s="14"/>
      <c r="G28" s="14"/>
      <c r="H28" s="14"/>
      <c r="I28" s="14"/>
      <c r="J28" s="14"/>
      <c r="K28" s="21"/>
      <c r="L28" s="14"/>
      <c r="M28" s="32">
        <v>0</v>
      </c>
      <c r="P28" s="32">
        <f t="shared" si="1"/>
        <v>0</v>
      </c>
      <c r="U28"/>
      <c r="V28"/>
      <c r="W28"/>
    </row>
    <row r="29" spans="1:23" x14ac:dyDescent="0.15">
      <c r="B29" s="47" t="s">
        <v>47</v>
      </c>
      <c r="C29" s="53" t="s">
        <v>54</v>
      </c>
      <c r="D29" s="40">
        <f>SUMIF($C$2:$C$8,"JITCO入管手続料受入",$D$2:$D$8)</f>
        <v>0</v>
      </c>
      <c r="E29" s="37">
        <f>SUMIFS($D$1:$D$2,$C$1:$C$2,"JITCO入管手続料受入",$O$1:$O$2,"八重洲")</f>
        <v>0</v>
      </c>
      <c r="F29" s="37">
        <f>SUMIFS($D$1:$D$2,$C$1:$C$2,"JITCO入管手続料受入",$O$1:$O$2,"滋賀")</f>
        <v>0</v>
      </c>
      <c r="G29" s="37">
        <f>SUMIFS($D$1:$D$2,$C$1:$C$2,"JITCO入管手続料受入",$O$1:$O$2,"神戸")</f>
        <v>0</v>
      </c>
      <c r="H29" s="37">
        <f>SUMIFS($D$1:$D$2,$C$1:$C$2,"JITCO入管手続料受入",$O$1:$O$2,"名古屋")</f>
        <v>0</v>
      </c>
      <c r="I29" s="37">
        <f>SUMIFS($D$1:$D$2,$C$1:$C$2,"JITCO入管手続料受入",$O$1:$O$2,"福岡(宮崎)")</f>
        <v>0</v>
      </c>
      <c r="J29" s="37">
        <f>SUMIFS($D$1:$D$2,$C$1:$C$2,"JITCO入管手続料受入",$O$1:$O$2,"仙台")</f>
        <v>0</v>
      </c>
      <c r="K29" s="37">
        <f>SUMIFS($D$1:$D$2,$C$1:$C$2,"JITCO入管手続料受入",$O$1:$O$2,"本部")</f>
        <v>0</v>
      </c>
      <c r="L29" s="37">
        <f>SUMIFS($D$1:$D$2,$C$1:$C$2,"JITCO入管手続料受入",$O$1:$O$2,"札幌")</f>
        <v>0</v>
      </c>
      <c r="M29" s="32">
        <v>586100</v>
      </c>
      <c r="P29" s="32">
        <f t="shared" si="1"/>
        <v>-586100</v>
      </c>
      <c r="U29"/>
      <c r="V29"/>
      <c r="W29"/>
    </row>
    <row r="30" spans="1:23" x14ac:dyDescent="0.15">
      <c r="B30" s="47" t="s">
        <v>47</v>
      </c>
      <c r="C30" s="53" t="s">
        <v>19</v>
      </c>
      <c r="D30" s="40">
        <f>SUMIF($C$2:$C$8,"JITCO入管手続料受入　印紙",$D$2:$D$8)</f>
        <v>0</v>
      </c>
      <c r="E30" s="37">
        <f>SUMIFS($D$1:$D$2,$C$1:$C$2,"JITCO入管手続料受入　印紙",$O$1:$O$2,"八重洲")</f>
        <v>0</v>
      </c>
      <c r="F30" s="37">
        <f>SUMIFS($D$1:$D$2,$C$1:$C$2,"JITCO入管手続料受入　印紙",$O$1:$O$2,"滋賀")</f>
        <v>0</v>
      </c>
      <c r="G30" s="37">
        <f>SUMIFS($D$1:$D$2,$C$1:$C$2,"JITCO入管手続料受入　印紙",$O$1:$O$2,"神戸")</f>
        <v>0</v>
      </c>
      <c r="H30" s="37">
        <f>SUMIFS($D$1:$D$2,$C$1:$C$2,"JITCO入管手続料受入　印紙",$O$1:$O$2,"名古屋")</f>
        <v>0</v>
      </c>
      <c r="I30" s="37">
        <f>SUMIFS($D$1:$D$2,$C$1:$C$2,"JITCO入管手続料受入　印紙",$O$1:$O$2,"福岡(宮崎)")</f>
        <v>0</v>
      </c>
      <c r="J30" s="37">
        <f>SUMIFS($D$1:$D$2,$C$1:$C$2,"JITCO入管手続料受入　印紙",$O$1:$O$2,"仙台")</f>
        <v>0</v>
      </c>
      <c r="K30" s="37">
        <f>SUMIFS($D$1:$D$2,$C$1:$C$2,"JITCO入管手続料受入　印紙",$O$1:$O$2,"本部")</f>
        <v>0</v>
      </c>
      <c r="L30" s="37">
        <f>SUMIFS($D$1:$D$2,$C$1:$C$2,"JITCO入管手続料受入　印紙",$O$1:$O$2,"札幌")</f>
        <v>0</v>
      </c>
      <c r="M30" s="32"/>
      <c r="P30" s="32"/>
      <c r="U30"/>
      <c r="V30"/>
      <c r="W30"/>
    </row>
    <row r="31" spans="1:23" x14ac:dyDescent="0.15">
      <c r="B31" s="49"/>
      <c r="C31" s="39" t="s">
        <v>55</v>
      </c>
      <c r="D31" s="40">
        <f>SUMIF($C$2:$C$8,"建設JITCO入管手続料受入",$D$2:$D$8)</f>
        <v>0</v>
      </c>
      <c r="E31" s="14">
        <f>SUMIFS($D$1:$D$2,$C$1:$C$2,"建設JITCO入管手続料受入",$P$1:$P$2,"八重洲")</f>
        <v>0</v>
      </c>
      <c r="F31" s="14">
        <f>SUMIFS($D$1:$D$2,$C$1:$C$2,"建設JITCO入管手続料受入",$P$1:$P$2,"滋賀")</f>
        <v>0</v>
      </c>
      <c r="G31" s="14">
        <f>SUMIFS($D$1:$D$2,$C$1:$C$2,"建設JITCO入管手続料受入",$P$1:$P$2,"神戸")</f>
        <v>0</v>
      </c>
      <c r="H31" s="14">
        <f>SUMIFS($D$1:$D$2,$C$1:$C$2,"建設JITCO入管手続料受入",$P$1:$P$2,"名古屋")</f>
        <v>0</v>
      </c>
      <c r="I31" s="14">
        <f>SUMIFS($D$1:$D$2,$C$1:$C$2,"建設JITCO入管手続料受入",$P$1:$P$2,"宮崎")</f>
        <v>0</v>
      </c>
      <c r="J31" s="14">
        <f>SUMIFS($D$1:$D$2,$C$1:$C$2,"建設JITCO入管手続料受入",$P$1:$P$2,"仙台")</f>
        <v>0</v>
      </c>
      <c r="K31" s="14">
        <f>SUMIFS($D$1:$D$2,$C$1:$C$2,"建設JITCO入管手続料受入",$P$1:$P$2,"本部")</f>
        <v>0</v>
      </c>
      <c r="L31" s="14">
        <f>SUMIFS($D$1:$D$2,$C$1:$C$2,"建設JITCO入管手続料受入",$P$1:$P$2,"札幌")</f>
        <v>0</v>
      </c>
      <c r="M31" s="32">
        <v>0</v>
      </c>
      <c r="P31" s="32">
        <f t="shared" si="1"/>
        <v>0</v>
      </c>
      <c r="U31"/>
      <c r="V31"/>
      <c r="W31"/>
    </row>
    <row r="32" spans="1:23" x14ac:dyDescent="0.15">
      <c r="B32" s="47" t="s">
        <v>47</v>
      </c>
      <c r="C32" s="53" t="s">
        <v>56</v>
      </c>
      <c r="D32" s="40">
        <f>SUMIF($C$2:$C$8,"JITCO年会費受入",$D$2:$D$8)</f>
        <v>0</v>
      </c>
      <c r="E32" s="37">
        <f>SUMIFS($D$1:$D$2,$C$1:$C$2,"JITCO年会費受入",$O$1:$O$2,"八重洲")</f>
        <v>0</v>
      </c>
      <c r="F32" s="37">
        <f>SUMIFS($D$1:$D$2,$C$1:$C$2,"JITCO年会費受入",$O$1:$O$2,"滋賀")</f>
        <v>0</v>
      </c>
      <c r="G32" s="37">
        <f>SUMIFS($D$1:$D$2,$C$1:$C$2,"JITCO年会費受入",$O$1:$O$2,"神戸")</f>
        <v>0</v>
      </c>
      <c r="H32" s="37">
        <f>SUMIFS($D$1:$D$2,$C$1:$C$2,"JITCO年会費受入",$O$1:$O$2,"名古屋")</f>
        <v>0</v>
      </c>
      <c r="I32" s="37">
        <f>SUMIFS($D$1:$D$2,$C$1:$C$2,"JITCO年会費受入",$O$1:$O$2,"福岡(宮崎)")</f>
        <v>0</v>
      </c>
      <c r="J32" s="37">
        <f>SUMIFS($D$1:$D$2,$C$1:$C$2,"JITCO年会費受入",$O$1:$O$2,"仙台")</f>
        <v>0</v>
      </c>
      <c r="K32" s="37">
        <f>SUMIFS($D$1:$D$2,$C$1:$C$2,"JITCO年会費受入",$O$1:$O$2,"本部")</f>
        <v>0</v>
      </c>
      <c r="L32" s="37">
        <f>SUMIFS($D$1:$D$2,$C$1:$C$2,"JITCO年会費受入",$O$1:$O$2,"札幌")</f>
        <v>0</v>
      </c>
      <c r="M32" s="32">
        <v>450000</v>
      </c>
      <c r="P32" s="32">
        <f t="shared" si="1"/>
        <v>-450000</v>
      </c>
      <c r="U32"/>
      <c r="V32"/>
      <c r="W32"/>
    </row>
    <row r="33" spans="1:23" x14ac:dyDescent="0.15">
      <c r="B33" s="49"/>
      <c r="C33" s="39" t="s">
        <v>57</v>
      </c>
      <c r="D33" s="40">
        <f>SUMIF($C$2:$C$8,"JITCO保険料受入",$D$2:$D$8)</f>
        <v>0</v>
      </c>
      <c r="E33" s="37">
        <f>SUMIFS($D$1:$D$2,$C$1:$C$2,"JITCO保険料受入",$O$1:$O$2,"八重洲")</f>
        <v>0</v>
      </c>
      <c r="F33" s="37">
        <f>SUMIFS($D$1:$D$2,$C$1:$C$2,"JITCO保険料受入",$O$1:$O$2,"滋賀")</f>
        <v>0</v>
      </c>
      <c r="G33" s="37">
        <f>SUMIFS($D$1:$D$2,$C$1:$C$2,"JITCO保険料受入",$O$1:$O$2,"神戸")</f>
        <v>0</v>
      </c>
      <c r="H33" s="37">
        <f>SUMIFS($D$1:$D$2,$C$1:$C$2,"JITCO保険料受入",$O$1:$O$2,"名古屋")</f>
        <v>0</v>
      </c>
      <c r="I33" s="37">
        <f>SUMIFS($D$1:$D$2,$C$1:$C$2,"JITCO保険料受入",$O$1:$O$2,"福岡(宮崎)")</f>
        <v>0</v>
      </c>
      <c r="J33" s="37">
        <f>SUMIFS($D$1:$D$2,$C$1:$C$2,"JITCO保険料受入",$O$1:$O$2,"仙台")</f>
        <v>0</v>
      </c>
      <c r="K33" s="37">
        <f>SUMIFS($D$1:$D$2,$C$1:$C$2,"JITCO保険料受入",$O$1:$O$2,"本部")</f>
        <v>0</v>
      </c>
      <c r="L33" s="37">
        <f>SUMIFS($D$1:$D$2,$C$1:$C$2,"JITCO保険料受入",$O$1:$O$2,"札幌")</f>
        <v>0</v>
      </c>
      <c r="M33" s="32">
        <v>0</v>
      </c>
      <c r="P33" s="32">
        <f t="shared" si="1"/>
        <v>0</v>
      </c>
      <c r="U33"/>
      <c r="V33"/>
      <c r="W33"/>
    </row>
    <row r="34" spans="1:23" x14ac:dyDescent="0.15">
      <c r="B34" s="47" t="s">
        <v>47</v>
      </c>
      <c r="C34" s="53" t="s">
        <v>58</v>
      </c>
      <c r="D34" s="40">
        <f>SUMIF($C$2:$C$8,"NBCC保険料受入",$D$2:$D$8)</f>
        <v>0</v>
      </c>
      <c r="E34" s="37">
        <f>SUMIFS($D$1:$D$2,$C$1:$C$2,"NBCC保険料受入",$O$1:$O$2,"八重洲")</f>
        <v>0</v>
      </c>
      <c r="F34" s="37">
        <f>SUMIFS($D$1:$D$2,$C$1:$C$2,"NBCC保険料受入",$O$1:$O$2,"滋賀")</f>
        <v>0</v>
      </c>
      <c r="G34" s="37">
        <f>SUMIFS($D$1:$D$2,$C$1:$C$2,"NBCC保険料受入",$O$1:$O$2,"神戸")</f>
        <v>0</v>
      </c>
      <c r="H34" s="37">
        <f>SUMIFS($D$1:$D$2,$C$1:$C$2,"NBCC保険料受入",$O$1:$O$2,"名古屋")</f>
        <v>0</v>
      </c>
      <c r="I34" s="37">
        <f>SUMIFS($D$1:$D$2,$C$1:$C$2,"NBCC保険料受入",$O$1:$O$2,"福岡(宮崎)")</f>
        <v>0</v>
      </c>
      <c r="J34" s="37">
        <f>SUMIFS($D$1:$D$2,$C$1:$C$2,"NBCC保険料受入",$O$1:$O$2,"仙台")</f>
        <v>0</v>
      </c>
      <c r="K34" s="37">
        <f>SUMIFS($D$1:$D$2,$C$1:$C$2,"NBCC保険料受入",$O$1:$O$2,"本部")</f>
        <v>0</v>
      </c>
      <c r="L34" s="37">
        <f>SUMIFS($D$1:$D$2,$C$1:$C$2,"NBCC保険料受入",$O$1:$O$2,"札幌")</f>
        <v>0</v>
      </c>
      <c r="M34" s="32">
        <v>747410</v>
      </c>
      <c r="P34" s="32">
        <f t="shared" si="1"/>
        <v>-747410</v>
      </c>
      <c r="U34"/>
      <c r="V34"/>
      <c r="W34"/>
    </row>
    <row r="35" spans="1:23" x14ac:dyDescent="0.15">
      <c r="B35" s="49"/>
      <c r="C35" s="39" t="s">
        <v>59</v>
      </c>
      <c r="D35" s="40">
        <f>SUMIF($C$2:$C$8,"建設JITCO保険料受入",$D$2:$D$8)</f>
        <v>0</v>
      </c>
      <c r="E35" s="14">
        <f>SUMIFS($D$1:$D$2,$C$1:$C$2,"建設JITCO保険料受入",$P$1:$P$2,"八重洲")</f>
        <v>0</v>
      </c>
      <c r="F35" s="14">
        <f>SUMIFS($D$1:$D$2,$C$1:$C$2,"建設JITCO保険料受入",$P$1:$P$2,"滋賀")</f>
        <v>0</v>
      </c>
      <c r="G35" s="14">
        <f>SUMIFS($D$1:$D$2,$C$1:$C$2,"建設JITCO保険料受入",$P$1:$P$2,"神戸")</f>
        <v>0</v>
      </c>
      <c r="H35" s="14">
        <f>SUMIFS($D$1:$D$2,$C$1:$C$2,"建設JITCO保険料受入",$P$1:$P$2,"名古屋")</f>
        <v>0</v>
      </c>
      <c r="I35" s="14">
        <f>SUMIFS($D$1:$D$2,$C$1:$C$2,"建設JITCO保険料受入",$P$1:$P$2,"宮崎")</f>
        <v>0</v>
      </c>
      <c r="J35" s="14">
        <f>SUMIFS($D$1:$D$2,$C$1:$C$2,"建設JITCO保険料受入",$P$1:$P$2,"仙台")</f>
        <v>0</v>
      </c>
      <c r="K35" s="21">
        <f>SUMIFS($D$1:$D$2,$C$1:$C$2,"建設JITCO保険料受入",$P$1:$P$2,"本部")</f>
        <v>0</v>
      </c>
      <c r="L35" s="14">
        <f>SUMIFS($D$1:$D$2,$C$1:$C$2,"建設JITCO保険料受入",$P$1:$P$2,"札幌")</f>
        <v>0</v>
      </c>
      <c r="M35" s="32">
        <v>0</v>
      </c>
      <c r="P35" s="32">
        <f t="shared" si="1"/>
        <v>0</v>
      </c>
      <c r="U35"/>
      <c r="V35"/>
      <c r="W35"/>
    </row>
    <row r="36" spans="1:23" x14ac:dyDescent="0.15">
      <c r="B36" s="49"/>
      <c r="C36" s="39" t="s">
        <v>60</v>
      </c>
      <c r="D36" s="40">
        <f>SUMIF($C$2:$C$8,"建設NBCC保険料受入",$D$2:$D$8)</f>
        <v>0</v>
      </c>
      <c r="E36" s="14">
        <f>SUMIFS($D$1:$D$2,$C$1:$C$2,"建設NBCC保険料受入",$O$1:$O$2,"八重洲")</f>
        <v>0</v>
      </c>
      <c r="F36" s="14">
        <f>SUMIFS($D$1:$D$2,$C$1:$C$2,"建設NBCC保険料受入",$O$1:$O$2,"滋賀")</f>
        <v>0</v>
      </c>
      <c r="G36" s="14">
        <f>SUMIFS($D$1:$D$2,$C$1:$C$2,"建設NBCC保険料受入",$O$1:$O$2,"神戸")</f>
        <v>0</v>
      </c>
      <c r="H36" s="14">
        <f>SUMIFS($D$1:$D$2,$C$1:$C$2,"N建設NBCC保険料受入",$O$1:$O$2,"名古屋")</f>
        <v>0</v>
      </c>
      <c r="I36" s="14">
        <f>SUMIFS($D$1:$D$2,$C$1:$C$2,"建設NBCC保険料受入",$O$1:$O$2,"宮崎")</f>
        <v>0</v>
      </c>
      <c r="J36" s="14">
        <f>SUMIFS($D$1:$D$2,$C$1:$C$2,"建設NBCC保険料受入",$O$1:$O$2,"仙台")</f>
        <v>0</v>
      </c>
      <c r="K36" s="14">
        <f>SUMIFS($D$1:$D$2,$C$1:$C$2,"建設NBCC保険料受入",$O$1:$O$2,"本部")</f>
        <v>0</v>
      </c>
      <c r="L36" s="14">
        <f>SUMIFS($D$1:$D$2,$C$1:$C$2,"建設NBCC保険料受入",$O$1:$O$2,"札幌")</f>
        <v>0</v>
      </c>
      <c r="M36" s="32">
        <v>0</v>
      </c>
      <c r="P36" s="32">
        <f t="shared" si="1"/>
        <v>0</v>
      </c>
      <c r="U36"/>
      <c r="V36"/>
      <c r="W36"/>
    </row>
    <row r="37" spans="1:23" x14ac:dyDescent="0.15">
      <c r="B37" s="47" t="s">
        <v>47</v>
      </c>
      <c r="C37" s="53" t="s">
        <v>61</v>
      </c>
      <c r="D37" s="40">
        <f>SUMIF($C$2:$C$8,"特技NBCC保険料受入",$D$2:$D$8)</f>
        <v>0</v>
      </c>
      <c r="E37" s="37">
        <f>SUMIFS($D$1:$D$2,$C$1:$C$2,"特技NBCC保険料受入",$O$1:$O$2,"八重洲")</f>
        <v>0</v>
      </c>
      <c r="F37" s="37">
        <f>SUMIFS($D$1:$D$2,$C$1:$C$2,"特技NBCC保険料受入",$O$1:$O$2,"滋賀")</f>
        <v>0</v>
      </c>
      <c r="G37" s="37">
        <f>SUMIFS($D$1:$D$2,$C$1:$C$2,"特技NBCC保険料受入",$O$1:$O$2,"神戸")</f>
        <v>0</v>
      </c>
      <c r="H37" s="37">
        <f>SUMIFS($D$1:$D$2,$C$1:$C$2,"特技NBCC保険料受入",$O$1:$O$2,"名古屋")</f>
        <v>0</v>
      </c>
      <c r="I37" s="37">
        <f>SUMIFS($D$1:$D$2,$C$1:$C$2,"特技NBCC保険料受入",$O$1:$O$2,"福岡(宮崎)")</f>
        <v>0</v>
      </c>
      <c r="J37" s="37">
        <f>SUMIFS($D$1:$D$2,$C$1:$C$2,"特技NBCC保険料受入",$O$1:$O$2,"仙台")</f>
        <v>0</v>
      </c>
      <c r="K37" s="37">
        <f>SUMIFS($D$1:$D$2,$C$1:$C$2,"特技NBCC保険料受入",$O$1:$O$2,"本部")</f>
        <v>0</v>
      </c>
      <c r="L37" s="37">
        <f>SUMIFS($D$1:$D$2,$C$1:$C$2,"特技NBCC保険料受入",$O$1:$O$2,"札幌")</f>
        <v>0</v>
      </c>
      <c r="M37" s="32">
        <v>354590</v>
      </c>
      <c r="P37" s="32">
        <f t="shared" si="1"/>
        <v>-354590</v>
      </c>
      <c r="U37"/>
      <c r="V37"/>
      <c r="W37"/>
    </row>
    <row r="38" spans="1:23" x14ac:dyDescent="0.15">
      <c r="B38" s="47" t="s">
        <v>47</v>
      </c>
      <c r="C38" s="53" t="s">
        <v>62</v>
      </c>
      <c r="D38" s="40">
        <f>SUMIF($C$2:$C$8,"技検試験料受入",$D$2:$D$8)</f>
        <v>0</v>
      </c>
      <c r="E38" s="37">
        <f>SUMIFS($D$1:$D$2,$C$1:$C$2,"技検試験料受入",$O$1:$O$2,"八重洲")</f>
        <v>0</v>
      </c>
      <c r="F38" s="37">
        <f>SUMIFS($D$1:$D$2,$C$1:$C$2,"技検試験料受入",$O$1:$O$2,"滋賀")</f>
        <v>0</v>
      </c>
      <c r="G38" s="37">
        <f>SUMIFS($D$1:$D$2,$C$1:$C$2,"技検試験料受入",$O$1:$O$2,"神戸")</f>
        <v>0</v>
      </c>
      <c r="H38" s="37">
        <f>SUMIFS($D$1:$D$2,$C$1:$C$2,"技検試験料受入",$O$1:$O$2,"名古屋")</f>
        <v>0</v>
      </c>
      <c r="I38" s="37">
        <f>SUMIFS($D$1:$D$2,$C$1:$C$2,"技検試験料受入",$O$1:$O$2,"福岡(宮崎)")</f>
        <v>0</v>
      </c>
      <c r="J38" s="37">
        <f>SUMIFS($D$1:$D$2,$C$1:$C$2,"技検試験料受入",$O$1:$O$2,"仙台")</f>
        <v>0</v>
      </c>
      <c r="K38" s="37">
        <f>SUMIFS($D$1:$D$2,$C$1:$C$2,"技検試験料受入",$O$1:$O$2,"本部")</f>
        <v>0</v>
      </c>
      <c r="L38" s="37">
        <f>SUMIFS($D$1:$D$2,$C$1:$C$2,"技検試験料受入",$O$1:$O$2,"札幌")</f>
        <v>0</v>
      </c>
      <c r="M38" s="32">
        <v>1449360</v>
      </c>
      <c r="P38" s="32">
        <f t="shared" si="1"/>
        <v>-1449360</v>
      </c>
      <c r="U38"/>
      <c r="V38"/>
      <c r="W38"/>
    </row>
    <row r="39" spans="1:23" x14ac:dyDescent="0.15">
      <c r="B39" s="49"/>
      <c r="C39" s="39" t="s">
        <v>63</v>
      </c>
      <c r="D39" s="40">
        <f>SUMIF($C$2:$C$8,"未収入金",$D$2:$D$8)</f>
        <v>0</v>
      </c>
      <c r="E39" s="14">
        <f>SUMIFS($D$1:$D$2,$C$1:$C$2,"未収入金",$O$1:$O$2,"八重洲")</f>
        <v>0</v>
      </c>
      <c r="F39" s="14"/>
      <c r="G39" s="14"/>
      <c r="H39" s="14"/>
      <c r="I39" s="14"/>
      <c r="J39" s="14"/>
      <c r="K39" s="21"/>
      <c r="L39" s="14"/>
      <c r="M39" s="32">
        <v>0</v>
      </c>
      <c r="P39" s="32">
        <f t="shared" si="1"/>
        <v>0</v>
      </c>
      <c r="U39"/>
      <c r="V39"/>
      <c r="W39"/>
    </row>
    <row r="40" spans="1:23" x14ac:dyDescent="0.15">
      <c r="B40" s="49"/>
      <c r="C40" s="39" t="s">
        <v>64</v>
      </c>
      <c r="D40" s="40">
        <f>SUMIF($C$2:$C$8,"出資金",$D$2:$D$8)</f>
        <v>0</v>
      </c>
      <c r="E40" s="14"/>
      <c r="F40" s="14"/>
      <c r="G40" s="14"/>
      <c r="H40" s="14"/>
      <c r="I40" s="14"/>
      <c r="J40" s="14"/>
      <c r="K40" s="21"/>
      <c r="L40" s="14"/>
      <c r="M40" s="32">
        <v>0</v>
      </c>
      <c r="P40" s="32">
        <f t="shared" si="1"/>
        <v>0</v>
      </c>
      <c r="U40"/>
      <c r="V40"/>
      <c r="W40"/>
    </row>
    <row r="41" spans="1:23" x14ac:dyDescent="0.15">
      <c r="B41" s="49">
        <v>335</v>
      </c>
      <c r="C41" s="39" t="s">
        <v>65</v>
      </c>
      <c r="D41" s="40">
        <f>SUMIF($C$2:$C$8,"仮受金",$D$2:$D$8)</f>
        <v>0</v>
      </c>
      <c r="E41" s="14">
        <f>SUMIFS($D$1:$D$2,$C$1:$C$2,"仮受金",$O$1:$O$2,"八重洲")</f>
        <v>0</v>
      </c>
      <c r="F41" s="14">
        <f>SUMIFS($D$1:$D$2,$C$1:$C$2,"仮受金",$P$1:$P$2,"滋賀")</f>
        <v>0</v>
      </c>
      <c r="G41" s="14">
        <f>SUMIFS($D$1:$D$2,$C$1:$C$2,"仮受金",$P$1:$P$2,"神戸")</f>
        <v>0</v>
      </c>
      <c r="H41" s="14">
        <f>SUMIFS($D$1:$D$2,$C$1:$C$2,"仮受金",$P$1:$P$2,"名古屋")</f>
        <v>0</v>
      </c>
      <c r="I41" s="14">
        <f>SUMIFS($D$1:$D$2,$C$1:$C$2,"仮受金",$P$1:$P$2,"福岡(宮崎)")</f>
        <v>0</v>
      </c>
      <c r="J41" s="14">
        <f>SUMIFS($D$1:$D$2,$C$1:$C$2,"仮受金",$P$1:$P$2,"仙台")</f>
        <v>0</v>
      </c>
      <c r="K41" s="14">
        <f>SUMIFS($D$1:$D$2,$C$1:$C$2,"仮受金",$P$1:$P$2,"本部")</f>
        <v>0</v>
      </c>
      <c r="L41" s="14">
        <f>SUMIFS($D$1:$D$2,$C$1:$C$2,"仮受金",$P$1:$P$2,"札幌")</f>
        <v>0</v>
      </c>
      <c r="M41" s="32">
        <v>550</v>
      </c>
      <c r="P41" s="32">
        <f t="shared" si="1"/>
        <v>-550</v>
      </c>
      <c r="U41"/>
      <c r="V41"/>
      <c r="W41"/>
    </row>
    <row r="42" spans="1:23" x14ac:dyDescent="0.15">
      <c r="B42" s="49">
        <v>335</v>
      </c>
      <c r="C42" s="39" t="s">
        <v>66</v>
      </c>
      <c r="D42" s="40">
        <f>SUMIF($C$2:$C$8,"講習手当",$D$2:$D$8)</f>
        <v>0</v>
      </c>
      <c r="E42" s="14">
        <f>SUMIFS($D$1:$D$2,$C$1:$C$2,"講習手当",$P$1:$P$2,"八重洲")</f>
        <v>0</v>
      </c>
      <c r="F42" s="14">
        <f>SUMIFS($D$1:$D$2,$C$1:$C$2,"講習手当",$P$1:$P$2,"滋賀")</f>
        <v>0</v>
      </c>
      <c r="G42" s="14">
        <f>SUMIFS($D$1:$D$2,$C$1:$C$2,"講習手当",$P$1:$P$2,"神戸")</f>
        <v>0</v>
      </c>
      <c r="H42" s="14">
        <f>SUMIFS($D$1:$D$2,$C$1:$C$2,"講習手当",$P$1:$P$2,"名古屋")</f>
        <v>0</v>
      </c>
      <c r="I42" s="14">
        <f>SUMIFS($D$1:$D$2,$C$1:$C$2,"講習手当",$P$1:$P$2,"福岡(宮崎)")</f>
        <v>0</v>
      </c>
      <c r="J42" s="14">
        <f>SUMIFS($D$1:$D$2,$C$1:$C$2,"講習手当",$P$1:$P$2,"仙台")</f>
        <v>0</v>
      </c>
      <c r="K42" s="14">
        <f>SUMIFS($D$1:$D$2,$C$1:$C$2,"講習手当",$P$1:$P$2,"本部")</f>
        <v>0</v>
      </c>
      <c r="L42" s="14">
        <f>SUMIFS($D$1:$D$2,$C$1:$C$2,"講習手当",$P$1:$P$2,"札幌")</f>
        <v>0</v>
      </c>
      <c r="M42" s="32">
        <v>2377000</v>
      </c>
      <c r="P42" s="32">
        <f t="shared" si="1"/>
        <v>-2377000</v>
      </c>
      <c r="U42"/>
      <c r="V42"/>
      <c r="W42"/>
    </row>
    <row r="43" spans="1:23" ht="24" x14ac:dyDescent="0.15">
      <c r="B43" s="54" t="s">
        <v>42</v>
      </c>
      <c r="C43" s="41" t="s">
        <v>67</v>
      </c>
      <c r="D43" s="40">
        <f>SUMIF($C$2:$C$8,"職業紹介費",$D$2:$D$8)</f>
        <v>0</v>
      </c>
      <c r="E43" s="37">
        <f>SUMIFS($D$1:$D$2,$C$1:$C$2,"職業紹介費",$O$1:$O$2,"八重洲")</f>
        <v>0</v>
      </c>
      <c r="F43" s="37">
        <f>SUMIFS($D$1:$D$2,$C$1:$C$2,"職業紹介費",$O$1:$O$2,"滋賀")</f>
        <v>0</v>
      </c>
      <c r="G43" s="37">
        <f>SUMIFS($D$1:$D$2,$C$1:$C$2,"職業紹介費",$O$1:$O$2,"神戸")</f>
        <v>0</v>
      </c>
      <c r="H43" s="37">
        <f>SUMIFS($D$1:$D$2,$C$1:$C$2,"職業紹介費",$O$1:$O$2,"名古屋")</f>
        <v>0</v>
      </c>
      <c r="I43" s="37">
        <f>SUMIFS($D$1:$D$2,$C$1:$C$2,"職業紹介費",$O$1:$O$2,"福岡(宮崎)")</f>
        <v>0</v>
      </c>
      <c r="J43" s="37">
        <f>SUMIFS($D$1:$D$2,$C$1:$C$2,"職業紹介費",$O$1:$O$2,"仙台")</f>
        <v>0</v>
      </c>
      <c r="K43" s="37">
        <f>SUMIFS($D$1:$D$2,$C$1:$C$2,"職業紹介費",$O$1:$O$2,"本部")</f>
        <v>0</v>
      </c>
      <c r="L43" s="37">
        <f>SUMIFS($D$1:$D$2,$C$1:$C$2,"職業紹介費",$O$1:$O$2,"札幌")</f>
        <v>0</v>
      </c>
      <c r="M43" s="32">
        <v>0</v>
      </c>
      <c r="P43" s="32">
        <f t="shared" si="1"/>
        <v>0</v>
      </c>
      <c r="U43"/>
      <c r="V43"/>
      <c r="W43"/>
    </row>
    <row r="44" spans="1:23" x14ac:dyDescent="0.15">
      <c r="B44" s="49"/>
      <c r="C44" s="39" t="s">
        <v>68</v>
      </c>
      <c r="D44" s="40">
        <f>SUMIF($C$2:$C$8,"その他　支払",$D$2:$D$8)</f>
        <v>0</v>
      </c>
      <c r="E44" s="14">
        <f>SUMIFS($D$1:$D$2,$C$1:$C$2,"職業紹介費",$P$1:$P$2,"八重洲")</f>
        <v>0</v>
      </c>
      <c r="F44" s="14"/>
      <c r="G44" s="14"/>
      <c r="H44" s="14"/>
      <c r="I44" s="14"/>
      <c r="J44" s="14"/>
      <c r="K44" s="21"/>
      <c r="L44" s="14"/>
      <c r="M44" s="32">
        <v>0</v>
      </c>
      <c r="P44" s="32">
        <f t="shared" si="1"/>
        <v>0</v>
      </c>
      <c r="U44"/>
      <c r="V44"/>
      <c r="W44"/>
    </row>
    <row r="45" spans="1:23" x14ac:dyDescent="0.15">
      <c r="B45" s="49">
        <v>335</v>
      </c>
      <c r="C45" s="39" t="s">
        <v>69</v>
      </c>
      <c r="D45" s="40">
        <f>SUMIF($C$2:$C$8,"入国前講習費",$D$2:$D$8)</f>
        <v>0</v>
      </c>
      <c r="E45" s="14">
        <f>SUMIFS($D$1:$D$2,$C$1:$C$2,"入国前講習費",$P$1:$P$2,"八重洲")</f>
        <v>0</v>
      </c>
      <c r="F45" s="14">
        <f>SUMIFS($D$1:$D$2,$C$1:$C$2,"入国前講習費",$P$1:$P$2,"滋賀")</f>
        <v>0</v>
      </c>
      <c r="G45" s="14">
        <f>SUMIFS($D$1:$D$2,$C$1:$C$2,"入国前講習費",$P$1:$P$2,"神戸")</f>
        <v>0</v>
      </c>
      <c r="H45" s="14">
        <f>SUMIFS($D$1:$D$2,$C$1:$C$2,"入国前講習費",$P$1:$P$2,"名古屋")</f>
        <v>0</v>
      </c>
      <c r="I45" s="14">
        <f>SUMIFS($D$1:$D$2,$C$1:$C$2,"入国前講習費",$P$1:$P$2,"福岡(宮崎)")</f>
        <v>0</v>
      </c>
      <c r="J45" s="14">
        <f>SUMIFS($D$1:$D$2,$C$1:$C$2,"入国前講習費",$P$1:$P$2,"仙台")</f>
        <v>0</v>
      </c>
      <c r="K45" s="14">
        <f>SUMIFS($D$1:$D$2,$C$1:$C$2,"入国前講習費",$P$1:$P$2,"本部")</f>
        <v>0</v>
      </c>
      <c r="L45" s="14">
        <f>SUMIFS($D$1:$D$2,$C$1:$C$2,"入国前講習費",$P$1:$P$2,"札幌")</f>
        <v>0</v>
      </c>
      <c r="M45" s="32">
        <v>320000</v>
      </c>
      <c r="P45" s="32">
        <f t="shared" si="1"/>
        <v>-320000</v>
      </c>
      <c r="U45"/>
      <c r="V45"/>
      <c r="W45"/>
    </row>
    <row r="46" spans="1:23" x14ac:dyDescent="0.15">
      <c r="B46" s="47" t="s">
        <v>47</v>
      </c>
      <c r="C46" s="53" t="s">
        <v>70</v>
      </c>
      <c r="D46" s="40">
        <f>SUMIF($C$2:$C$8,"特技入管手続料受入",$D$2:$D$8)</f>
        <v>0</v>
      </c>
      <c r="E46" s="37">
        <f>SUMIFS($D$1:$D$2,$C$1:$C$2,"特技入管手続料受入",$O$1:$O$2,"八重洲")</f>
        <v>0</v>
      </c>
      <c r="F46" s="37">
        <f>SUMIFS($D$1:$D$2,$C$1:$C$2,"特技入管手続料受入",$O$1:$O$2,"滋賀")</f>
        <v>0</v>
      </c>
      <c r="G46" s="37">
        <f>SUMIFS($D$1:$D$2,$C$1:$C$2,"特技入管手続料受入",$O$1:$O$2,"神戸")</f>
        <v>0</v>
      </c>
      <c r="H46" s="37">
        <f>SUMIFS($D$1:$D$2,$C$1:$C$2,"特技入管手続料受入",$O$1:$O$2,"名古屋")</f>
        <v>0</v>
      </c>
      <c r="I46" s="37">
        <f>SUMIFS($D$1:$D$2,$C$1:$C$2,"特技入管手続料受入",$O$1:$O$2,"福岡(宮崎)")</f>
        <v>0</v>
      </c>
      <c r="J46" s="37">
        <f>SUMIFS($D$1:$D$2,$C$1:$C$2,"特技入管手続料受入",$O$1:$O$2,"仙台")</f>
        <v>0</v>
      </c>
      <c r="K46" s="37">
        <f>SUMIFS($D$1:$D$2,$C$1:$C$2,"特技入管手続料受入",$O$1:$O$2,"本部")</f>
        <v>0</v>
      </c>
      <c r="L46" s="37">
        <f>SUMIFS($D$1:$D$2,$C$1:$C$2,"特技入管手続料受入",$O$1:$O$2,"札幌")</f>
        <v>0</v>
      </c>
      <c r="M46" s="32">
        <v>224400</v>
      </c>
      <c r="P46" s="32">
        <f t="shared" si="1"/>
        <v>-224400</v>
      </c>
      <c r="U46"/>
      <c r="V46"/>
      <c r="W46"/>
    </row>
    <row r="47" spans="1:23" x14ac:dyDescent="0.15">
      <c r="B47" s="47" t="s">
        <v>47</v>
      </c>
      <c r="C47" s="53" t="s">
        <v>27</v>
      </c>
      <c r="D47" s="40">
        <f>SUMIF($C$2:$C$8,"特技入管手続料受入　印紙",$D$2:$D$8)</f>
        <v>0</v>
      </c>
      <c r="E47" s="37">
        <f>SUMIFS($D$1:$D$2,$C$1:$C$2,"特技入管手続料受入　印紙",$O$1:$O$2,"八重洲")</f>
        <v>0</v>
      </c>
      <c r="F47" s="37">
        <f>SUMIFS($D$1:$D$2,$C$1:$C$2,"特技入管手続料受入　印紙",$O$1:$O$2,"滋賀")</f>
        <v>0</v>
      </c>
      <c r="G47" s="37">
        <f>SUMIFS($D$1:$D$2,$C$1:$C$2,"特技入管手続料受入　印紙",$O$1:$O$2,"神戸")</f>
        <v>0</v>
      </c>
      <c r="H47" s="37">
        <f>SUMIFS($D$1:$D$2,$C$1:$C$2,"特技入管手続料受入　印紙",$O$1:$O$2,"名古屋")</f>
        <v>0</v>
      </c>
      <c r="I47" s="37">
        <f>SUMIFS($D$1:$D$2,$C$1:$C$2,"特技入管手続料受入　印紙",$O$1:$O$2,"福岡(宮崎)")</f>
        <v>0</v>
      </c>
      <c r="J47" s="37">
        <f>SUMIFS($D$1:$D$2,$C$1:$C$2,"特技入管手続料受入　印紙",$O$1:$O$2,"仙台")</f>
        <v>0</v>
      </c>
      <c r="K47" s="37">
        <f>SUMIFS($D$1:$D$2,$C$1:$C$2,"特技入管手続料受入　印紙",$O$1:$O$2,"本部")</f>
        <v>0</v>
      </c>
      <c r="L47" s="37">
        <f>SUMIFS($D$1:$D$2,$C$1:$C$2,"特技入管手続料受入　印紙",$O$1:$O$2,"札幌")</f>
        <v>0</v>
      </c>
      <c r="M47" s="32"/>
      <c r="P47" s="32"/>
      <c r="U47"/>
      <c r="V47"/>
      <c r="W47"/>
    </row>
    <row r="48" spans="1:23" x14ac:dyDescent="0.15">
      <c r="A48" s="33"/>
      <c r="B48" s="49"/>
      <c r="C48" s="39" t="s">
        <v>71</v>
      </c>
      <c r="D48" s="40">
        <f>SUMIF($C$2:$C$8,"雑費",$D$2:$D$8)</f>
        <v>0</v>
      </c>
      <c r="E48" s="14"/>
      <c r="F48" s="14"/>
      <c r="G48" s="14"/>
      <c r="H48" s="14"/>
      <c r="I48" s="14"/>
      <c r="J48" s="14"/>
      <c r="K48" s="21"/>
      <c r="L48" s="14"/>
      <c r="M48" s="32">
        <v>0</v>
      </c>
      <c r="P48" s="32">
        <f t="shared" si="1"/>
        <v>0</v>
      </c>
      <c r="Q48" s="33"/>
      <c r="U48"/>
      <c r="V48"/>
      <c r="W48"/>
    </row>
    <row r="49" spans="2:23" x14ac:dyDescent="0.15">
      <c r="B49" s="49"/>
      <c r="C49" s="39" t="s">
        <v>72</v>
      </c>
      <c r="D49" s="40">
        <f>SUMIF($C$2:$C$8,"預り金",$D$2:$D$8)</f>
        <v>0</v>
      </c>
      <c r="E49" s="14">
        <f>SUMIFS($D$1:$D$2,$C$1:$C$2,"預り金",$O$1:$O$2,"八重洲")</f>
        <v>0</v>
      </c>
      <c r="F49" s="14">
        <f>SUMIFS($D$1:$D$2,$C$1:$C$2,"預り金",$O$1:$O$2,"滋賀")</f>
        <v>0</v>
      </c>
      <c r="G49" s="14">
        <f>SUMIFS($D$1:$D$2,$C$1:$C$2,"預り金",$O$1:$O$2,"神戸")</f>
        <v>0</v>
      </c>
      <c r="H49" s="14">
        <f>SUMIFS($D$1:$D$2,$C$1:$C$2,"預り金",$O$1:$O$2,"名古屋")</f>
        <v>0</v>
      </c>
      <c r="I49" s="14">
        <f>SUMIFS($D$1:$D$2,$C$1:$C$2,"預り金",$O$1:$O$2,"宮崎")</f>
        <v>0</v>
      </c>
      <c r="J49" s="14">
        <f>SUMIFS($D$1:$D$2,$C$1:$C$2,"預り金",$O$1:$O$2,"仙台")</f>
        <v>0</v>
      </c>
      <c r="K49" s="14">
        <f>SUMIFS($D$1:$D$2,$C$1:$C$2,"預り金",$O$1:$O$2,"本部")</f>
        <v>0</v>
      </c>
      <c r="L49" s="14">
        <f>SUMIFS($D$1:$D$2,$C$1:$C$2,"預り金",$O$1:$O$2,"札幌")</f>
        <v>0</v>
      </c>
      <c r="M49" s="32">
        <v>0</v>
      </c>
      <c r="P49" s="32">
        <f t="shared" si="1"/>
        <v>0</v>
      </c>
      <c r="U49"/>
      <c r="V49"/>
      <c r="W49"/>
    </row>
    <row r="50" spans="2:23" x14ac:dyDescent="0.15">
      <c r="B50" s="49">
        <v>335</v>
      </c>
      <c r="C50" s="9" t="s">
        <v>28</v>
      </c>
      <c r="D50" s="40">
        <f>SUMIF($C$2:$C$8,"計画認定料受入",$D$2:$D$8)</f>
        <v>0</v>
      </c>
      <c r="E50" s="14">
        <f>SUMIFS($D$1:$D$2,$C$1:$C$2,"計画認定料受入",$O$1:$O$2,"八重洲")</f>
        <v>0</v>
      </c>
      <c r="F50" s="14">
        <f>SUMIFS($D$1:$D$2,$C$1:$C$2,"計画認定料受入",$O$1:$O$2,"滋賀")</f>
        <v>0</v>
      </c>
      <c r="G50" s="14">
        <f>SUMIFS($D$1:$D$2,$C$1:$C$2,"計画認定料受入",$O$1:$O$2,"神戸")</f>
        <v>0</v>
      </c>
      <c r="H50" s="14">
        <f>SUMIFS($D$1:$D$2,$C$1:$C$2,"計画認定料受入",$O$1:$O$2,"名古屋")</f>
        <v>0</v>
      </c>
      <c r="I50" s="14">
        <f>SUMIFS($D$1:$D$2,$C$1:$C$2,"計画認定料受入",$O$1:$O$2,"宮崎")</f>
        <v>0</v>
      </c>
      <c r="J50" s="14">
        <f>SUMIFS($D$1:$D$2,$C$1:$C$2,"計画認定料受入",$O$1:$O$2,"仙台")</f>
        <v>0</v>
      </c>
      <c r="K50" s="14">
        <f>SUMIFS($D$1:$D$2,$C$1:$C$2,"計画認定料受入",$O$1:$O$2,"本部")</f>
        <v>0</v>
      </c>
      <c r="L50" s="14">
        <f>SUMIFS($D$1:$D$2,$C$1:$C$2,"計画認定料受入",$O$1:$O$2,"札幌")</f>
        <v>0</v>
      </c>
      <c r="M50" s="32">
        <v>198900</v>
      </c>
      <c r="P50" s="32">
        <f t="shared" si="1"/>
        <v>-198900</v>
      </c>
      <c r="U50"/>
      <c r="V50"/>
      <c r="W50"/>
    </row>
    <row r="51" spans="2:23" x14ac:dyDescent="0.15">
      <c r="B51" s="49">
        <v>175</v>
      </c>
      <c r="C51" s="9" t="s">
        <v>73</v>
      </c>
      <c r="D51" s="40">
        <f>SUMIF($C$2:$C$8,"仮払金",$D$2:$D$8)</f>
        <v>0</v>
      </c>
      <c r="E51" s="14">
        <f>SUMIFS($D$1:$D$2,$C$1:$C$2,"仮払金",$P$1:$P$2,"八重洲")</f>
        <v>0</v>
      </c>
      <c r="F51" s="14">
        <f>SUMIFS($D$1:$D$2,$C$1:$C$2,"仮払金",$P$1:$P$2,"滋賀")</f>
        <v>0</v>
      </c>
      <c r="G51" s="14">
        <f>SUMIFS($D$1:$D$2,$C$1:$C$2,"仮払金",$P$1:$P$2,"神戸")</f>
        <v>0</v>
      </c>
      <c r="H51" s="14">
        <f>SUMIFS($D$1:$D$2,$C$1:$C$2,"仮払金",$P$1:$P$2,"名古屋")</f>
        <v>0</v>
      </c>
      <c r="I51" s="14">
        <f>SUMIFS($D$1:$D$2,$C$1:$C$2,"仮払金",$P$1:$P$2,"宮崎")</f>
        <v>0</v>
      </c>
      <c r="J51" s="14">
        <f>SUMIFS($D$1:$D$2,$C$1:$C$2,"仮払金",$P$1:$P$2,"仙台")</f>
        <v>0</v>
      </c>
      <c r="K51" s="21">
        <f>SUMIFS($D$1:$D$2,$C$1:$C$2,"仮払金",$P$1:$P$2,"本部")</f>
        <v>0</v>
      </c>
      <c r="L51" s="14">
        <f>SUMIFS($D$1:$D$2,$C$1:$C$2,"仮払金",$P$1:$P$2,"札幌")</f>
        <v>0</v>
      </c>
      <c r="M51" s="32">
        <v>0</v>
      </c>
      <c r="P51" s="32">
        <f t="shared" si="1"/>
        <v>0</v>
      </c>
      <c r="U51"/>
      <c r="V51"/>
      <c r="W51"/>
    </row>
    <row r="52" spans="2:23" x14ac:dyDescent="0.15">
      <c r="B52" s="49">
        <v>335</v>
      </c>
      <c r="C52" s="9" t="s">
        <v>74</v>
      </c>
      <c r="D52" s="40">
        <f>SUMIF($C$2:$C$8,"国内移動費",$D$2:$D$8)</f>
        <v>0</v>
      </c>
      <c r="E52" s="14">
        <f>SUMIFS($D$1:$D$2,$C$1:$C$2,"国内移動費",$O$1:$O$2,"八重洲")</f>
        <v>0</v>
      </c>
      <c r="F52" s="14">
        <f>SUMIFS($D$1:$D$2,$C$1:$C$2,"国内移動費",$P$1:$P$2,"滋賀")</f>
        <v>0</v>
      </c>
      <c r="G52" s="14">
        <f>SUMIFS($D$1:$D$2,$C$1:$C$2,"国内移動費",$P$1:$P$2,"神戸")</f>
        <v>0</v>
      </c>
      <c r="H52" s="14">
        <f>SUMIFS($D$1:$D$2,$C$1:$C$2,"国内移動費",$P$1:$P$2,"名古屋")</f>
        <v>0</v>
      </c>
      <c r="I52" s="14">
        <f>SUMIFS($D$1:$D$2,$C$1:$C$2,"国内移動費",$P$1:$P$2,"宮崎")</f>
        <v>0</v>
      </c>
      <c r="J52" s="14">
        <f>SUMIFS($D$1:$D$2,$C$1:$C$2,"国内移動費",$P$1:$P$2,"仙台")</f>
        <v>0</v>
      </c>
      <c r="K52" s="21">
        <f>SUMIFS($D$1:$D$2,$C$1:$C$2,"国内移動費",$P$1:$P$2,"本部")</f>
        <v>0</v>
      </c>
      <c r="L52" s="14">
        <f>SUMIFS($D$1:$D$2,$C$1:$C$2,"国内移動費",$P$1:$P$2,"札幌")</f>
        <v>0</v>
      </c>
      <c r="M52" s="32">
        <v>330024</v>
      </c>
      <c r="P52" s="32">
        <f t="shared" si="1"/>
        <v>-330024</v>
      </c>
      <c r="U52"/>
      <c r="V52"/>
      <c r="W52"/>
    </row>
    <row r="53" spans="2:23" x14ac:dyDescent="0.15">
      <c r="B53" s="49">
        <v>335</v>
      </c>
      <c r="C53" s="9" t="s">
        <v>25</v>
      </c>
      <c r="D53" s="40">
        <f>SUMIF($C$2:$C$8,"入国後講習費",$D$2:$D$8)</f>
        <v>0</v>
      </c>
      <c r="E53" s="14">
        <f>SUMIFS($D$1:$D$2,$C$1:$C$2,"入国後講習費",$P$1:$P$2,"八重洲")</f>
        <v>0</v>
      </c>
      <c r="F53" s="14">
        <f>SUMIFS($D$1:$D$2,$C$1:$C$2,"入国後講習費",$P$1:$P$2,"滋賀")</f>
        <v>0</v>
      </c>
      <c r="G53" s="14">
        <f>SUMIFS($D$1:$D$2,$C$1:$C$2,"入国後講習費",$P$1:$P$2,"神戸")</f>
        <v>0</v>
      </c>
      <c r="H53" s="14">
        <f>SUMIFS($D$1:$D$2,$C$1:$C$2,"入国後講習費",$P$1:$P$2,"名古屋")</f>
        <v>0</v>
      </c>
      <c r="I53" s="14">
        <f>SUMIFS($D$1:$D$2,$C$1:$C$2,"入国後講習費",$P$1:$P$2,"宮崎")</f>
        <v>0</v>
      </c>
      <c r="J53" s="14">
        <f>SUMIFS($D$1:$D$2,$C$1:$C$2,"入国後講習費",$P$1:$P$2,"仙台")</f>
        <v>0</v>
      </c>
      <c r="K53" s="14">
        <f>SUMIFS($D$1:$D$2,$C$1:$C$2,"入国後講習費",$P$1:$P$2,"本部")</f>
        <v>0</v>
      </c>
      <c r="L53" s="14">
        <f>SUMIFS($D$1:$D$2,$C$1:$C$2,"入国後講習費",$P$1:$P$2,"札幌")</f>
        <v>0</v>
      </c>
      <c r="M53" s="32">
        <v>4244900</v>
      </c>
      <c r="P53" s="32">
        <f t="shared" si="1"/>
        <v>-4244900</v>
      </c>
      <c r="U53"/>
      <c r="V53"/>
      <c r="W53"/>
    </row>
    <row r="54" spans="2:23" x14ac:dyDescent="0.15">
      <c r="B54" s="49">
        <v>335</v>
      </c>
      <c r="C54" s="9" t="s">
        <v>75</v>
      </c>
      <c r="D54" s="40">
        <f>SUMIF($C$2:$C$8,"入国渡航費",$D$2:$D$8)</f>
        <v>0</v>
      </c>
      <c r="E54" s="14">
        <f>SUMIFS($D$1:$D$2,$C$1:$C$2,"入国渡航費",$P$1:$P$2,"八重洲")</f>
        <v>0</v>
      </c>
      <c r="F54" s="14">
        <f>SUMIFS($D$1:$D$2,$C$1:$C$2,"入国渡航費",$P$1:$P$2,"滋賀")</f>
        <v>0</v>
      </c>
      <c r="G54" s="14">
        <f>SUMIFS($D$1:$D$2,$C$1:$C$2,"入国渡航費",$P$1:$P$2,"神戸")</f>
        <v>0</v>
      </c>
      <c r="H54" s="14">
        <f>SUMIFS($D$1:$D$2,$C$1:$C$2,"入国渡航費",$P$1:$P$2,"名古屋")</f>
        <v>0</v>
      </c>
      <c r="I54" s="14">
        <f>SUMIFS($D$1:$D$2,$C$1:$C$2,"入国渡航費",$P$1:$P$2,"宮崎")</f>
        <v>0</v>
      </c>
      <c r="J54" s="14">
        <f>SUMIFS($D$1:$D$2,$C$1:$C$2,"入国渡航費",$P$1:$P$2,"仙台")</f>
        <v>0</v>
      </c>
      <c r="K54" s="14">
        <f>SUMIFS($D$1:$D$2,$C$1:$C$2,"入国渡航費",$P$1:$P$2,"本部")</f>
        <v>0</v>
      </c>
      <c r="L54" s="14">
        <f>SUMIFS($D$1:$D$2,$C$1:$C$2,"入国渡航費",$P$1:$P$2,"札幌")</f>
        <v>0</v>
      </c>
      <c r="M54" s="32">
        <v>4384106</v>
      </c>
      <c r="P54" s="32">
        <f t="shared" si="1"/>
        <v>-4384106</v>
      </c>
      <c r="U54"/>
      <c r="V54"/>
      <c r="W54"/>
    </row>
    <row r="55" spans="2:23" x14ac:dyDescent="0.15">
      <c r="B55" s="49">
        <v>335</v>
      </c>
      <c r="C55" s="9" t="s">
        <v>76</v>
      </c>
      <c r="D55" s="40">
        <f>SUMIF($C$2:$C$8,"入国渡航費（3号前）",$D$2:$D$8)</f>
        <v>0</v>
      </c>
      <c r="E55" s="14"/>
      <c r="F55" s="14"/>
      <c r="G55" s="14"/>
      <c r="H55" s="14"/>
      <c r="I55" s="14"/>
      <c r="J55" s="14"/>
      <c r="K55" s="21"/>
      <c r="L55" s="14"/>
      <c r="M55" s="32">
        <v>0</v>
      </c>
      <c r="P55" s="32">
        <f t="shared" si="1"/>
        <v>0</v>
      </c>
      <c r="U55"/>
      <c r="V55"/>
      <c r="W55"/>
    </row>
    <row r="56" spans="2:23" x14ac:dyDescent="0.15">
      <c r="B56" s="49">
        <v>335</v>
      </c>
      <c r="C56" s="9" t="s">
        <v>77</v>
      </c>
      <c r="D56" s="40">
        <f>SUMIF($C$2:$C$8,"往復渡航費（3号前）",$D$2:$D$8)</f>
        <v>0</v>
      </c>
      <c r="E56" s="14"/>
      <c r="F56" s="14"/>
      <c r="G56" s="14"/>
      <c r="H56" s="14"/>
      <c r="I56" s="14"/>
      <c r="J56" s="14"/>
      <c r="K56" s="21"/>
      <c r="L56" s="14"/>
      <c r="M56" s="32">
        <v>0</v>
      </c>
      <c r="P56" s="32">
        <f t="shared" si="1"/>
        <v>0</v>
      </c>
      <c r="U56"/>
      <c r="V56"/>
      <c r="W56"/>
    </row>
    <row r="57" spans="2:23" x14ac:dyDescent="0.15">
      <c r="B57" s="49">
        <v>335</v>
      </c>
      <c r="C57" s="9" t="s">
        <v>29</v>
      </c>
      <c r="D57" s="40">
        <f>SUMIF($C$2:$C$8,"帰国渡航費",$D$2:$D$8)</f>
        <v>0</v>
      </c>
      <c r="E57" s="14">
        <f>SUMIFS($D$1:$D$2,$C$1:$C$2,"帰国渡航費",$P$1:$P$2,"八重洲")</f>
        <v>0</v>
      </c>
      <c r="F57" s="14">
        <f>SUMIFS($D$1:$D$2,$C$1:$C$2,"帰国渡航費",$P$1:$P$2,"滋賀")</f>
        <v>0</v>
      </c>
      <c r="G57" s="14">
        <f>SUMIFS($D$1:$D$2,$C$1:$C$2,"帰国渡航費",$P$1:$P$2,"滋賀")</f>
        <v>0</v>
      </c>
      <c r="H57" s="14">
        <f>SUMIFS($D$1:$D$2,$C$1:$C$2,"帰国渡航費",$P$1:$P$2,"名古屋")</f>
        <v>0</v>
      </c>
      <c r="I57" s="14">
        <f>SUMIFS($D$1:$D$2,$C$1:$C$2,"帰国渡航費",$P$1:$P$2,"宮崎")</f>
        <v>0</v>
      </c>
      <c r="J57" s="14">
        <f>SUMIFS($D$1:$D$2,$C$1:$C$2,"帰国渡航費",$P$1:$P$2,"仙台")</f>
        <v>0</v>
      </c>
      <c r="K57" s="14">
        <f>SUMIFS($D$1:$D$2,$C$1:$C$2,"帰国渡航費",$P$1:$P$2,"本部")</f>
        <v>0</v>
      </c>
      <c r="L57" s="14">
        <f>SUMIFS($D$1:$D$2,$C$1:$C$2,"帰国渡航費",$P$1:$P$2,"札幌")</f>
        <v>0</v>
      </c>
      <c r="M57" s="32">
        <v>5194840</v>
      </c>
      <c r="P57" s="32">
        <f t="shared" si="1"/>
        <v>-5194840</v>
      </c>
      <c r="U57"/>
      <c r="V57"/>
      <c r="W57"/>
    </row>
    <row r="58" spans="2:23" x14ac:dyDescent="0.15">
      <c r="B58" s="49">
        <v>335</v>
      </c>
      <c r="C58" s="9" t="s">
        <v>78</v>
      </c>
      <c r="D58" s="40">
        <f>SUMIF($C$2:$C$8,"帰国渡航費（3号前）",$D$2:$D$8)</f>
        <v>0</v>
      </c>
      <c r="E58" s="14">
        <f>SUMIFS($D$1:$D$2,$C$1:$C$2,"帰国渡航費（3号前）",$O$1:$O$2,"八重洲")</f>
        <v>0</v>
      </c>
      <c r="F58" s="14">
        <f>SUMIFS($D$1:$D$2,$C$1:$C$2,"外部通訳翻訳費用",$P$1:$P$2,"滋賀")</f>
        <v>0</v>
      </c>
      <c r="G58" s="14">
        <f>SUMIFS($D$1:$D$2,$C$1:$C$2,"外部通訳翻訳費用",$P$1:$P$2,"神戸")</f>
        <v>0</v>
      </c>
      <c r="H58" s="14">
        <f>SUMIFS($D$1:$D$2,$C$1:$C$2,"外部通訳翻訳費用",$P$1:$P$2,"名古屋")</f>
        <v>0</v>
      </c>
      <c r="I58" s="14">
        <f>SUMIFS($D$1:$D$2,$C$1:$C$2,"外部通訳翻訳費用",$P$1:$P$2,"宮崎")</f>
        <v>0</v>
      </c>
      <c r="J58" s="14">
        <f>SUMIFS($D$1:$D$2,$C$1:$C$2,"外部通訳翻訳費用",$P$1:$P$2,"仙台")</f>
        <v>0</v>
      </c>
      <c r="K58" s="14">
        <f>SUMIFS($D$1:$D$2,$C$1:$C$2,"外部通訳翻訳費用",$P$1:$P$2,"本部")</f>
        <v>0</v>
      </c>
      <c r="L58" s="14">
        <f>SUMIFS($D$1:$D$2,$C$1:$C$2,"外部通訳翻訳費用",$P$1:$P$2,"札幌")</f>
        <v>0</v>
      </c>
      <c r="M58" s="32">
        <v>0</v>
      </c>
      <c r="P58" s="32">
        <f t="shared" si="1"/>
        <v>0</v>
      </c>
      <c r="U58"/>
      <c r="V58"/>
      <c r="W58"/>
    </row>
    <row r="59" spans="2:23" x14ac:dyDescent="0.15">
      <c r="B59" s="49">
        <v>335</v>
      </c>
      <c r="C59" s="9" t="s">
        <v>79</v>
      </c>
      <c r="D59" s="40">
        <f>SUMIF($C$2:$C$8,"雇入時健診費",$D$2:$D$8)</f>
        <v>0</v>
      </c>
      <c r="E59" s="14">
        <f>SUMIFS($D$1:$D$2,$C$1:$C$2,"雇入時健診費",$O$1:$O$2,"八重洲")</f>
        <v>0</v>
      </c>
      <c r="F59" s="14">
        <f>SUMIFS($D$1:$D$2,$C$1:$C$2,"雇入時健診費",$O$1:$O$2,"滋賀")</f>
        <v>0</v>
      </c>
      <c r="G59" s="14">
        <f>SUMIFS($D$1:$D$2,$C$1:$C$2,"雇入時健診費",$O$1:$O$2,"神戸")</f>
        <v>0</v>
      </c>
      <c r="H59" s="14">
        <f>SUMIFS($D$1:$D$2,$C$1:$C$2,"雇入時健診費",$O$1:$O$2,"名古屋")</f>
        <v>0</v>
      </c>
      <c r="I59" s="14">
        <f>SUMIFS($D$1:$D$2,$C$1:$C$2,"雇入時健診費",$O$1:$O$2,"宮崎")</f>
        <v>0</v>
      </c>
      <c r="J59" s="14">
        <f>SUMIFS($D$1:$D$2,$C$1:$C$2,"雇入時健診費",$O$1:$O$2,"仙台")</f>
        <v>0</v>
      </c>
      <c r="K59" s="14">
        <f>SUMIFS($D$1:$D$2,$C$1:$C$2,"雇入時健診費",$O$1:$O$2,"本部")</f>
        <v>0</v>
      </c>
      <c r="L59" s="14">
        <f>SUMIFS($D$1:$D$2,$C$1:$C$2,"雇入時健診費",$O$1:$O$2,"札幌")</f>
        <v>0</v>
      </c>
      <c r="M59" s="32">
        <v>408045</v>
      </c>
      <c r="P59" s="32">
        <f t="shared" si="1"/>
        <v>-408045</v>
      </c>
      <c r="U59"/>
      <c r="V59"/>
      <c r="W59"/>
    </row>
    <row r="60" spans="2:23" x14ac:dyDescent="0.15">
      <c r="B60" s="47" t="s">
        <v>47</v>
      </c>
      <c r="C60" s="50" t="s">
        <v>80</v>
      </c>
      <c r="D60" s="40">
        <f>SUMIF($C$2:$C$8,"印紙代",$D$2:$D$8)</f>
        <v>0</v>
      </c>
      <c r="E60" s="37">
        <f>SUMIFS($D$1:$D$2,$C$1:$C$2,"印紙代",$O$1:$O$2,"八重洲")</f>
        <v>0</v>
      </c>
      <c r="F60" s="37">
        <f>SUMIFS($D$1:$D$2,$C$1:$C$2,"印紙代",$O$1:$O$2,"滋賀")</f>
        <v>0</v>
      </c>
      <c r="G60" s="37">
        <f>SUMIFS($D$1:$D$2,$C$1:$C$2,"印紙代",$O$1:$O$2,"神戸")</f>
        <v>0</v>
      </c>
      <c r="H60" s="37">
        <f>SUMIFS($D$1:$D$2,$C$1:$C$2,"印紙代",$O$1:$O$2,"名古屋")</f>
        <v>0</v>
      </c>
      <c r="I60" s="37">
        <f>SUMIFS($D$1:$D$2,$C$1:$C$2,"印紙代",$O$1:$O$2,"福岡(宮崎)")</f>
        <v>0</v>
      </c>
      <c r="J60" s="37">
        <f>SUMIFS($D$1:$D$2,$C$1:$C$2,"印紙代",$O$1:$O$2,"仙台")</f>
        <v>0</v>
      </c>
      <c r="K60" s="37">
        <f>SUMIFS($D$1:$D$2,$C$1:$C$2,"印紙代",$O$1:$O$2,"本部")</f>
        <v>0</v>
      </c>
      <c r="L60" s="37">
        <f>SUMIFS($D$1:$D$2,$C$1:$C$2,"印紙代",$O$1:$O$2,"札幌")</f>
        <v>0</v>
      </c>
      <c r="M60" s="32">
        <v>108000</v>
      </c>
      <c r="P60" s="32">
        <f t="shared" si="1"/>
        <v>-108000</v>
      </c>
      <c r="U60"/>
      <c r="V60"/>
      <c r="W60"/>
    </row>
    <row r="61" spans="2:23" x14ac:dyDescent="0.15">
      <c r="B61" s="49"/>
      <c r="C61" s="9" t="s">
        <v>81</v>
      </c>
      <c r="D61" s="40">
        <f>SUMIF($C$2:$C$8,"相談支援費",$D$2:$D$8)</f>
        <v>0</v>
      </c>
      <c r="E61" s="14">
        <f>SUMIFS($D$1:$D$2,$C$1:$C$2,"特定技能外国人支援初期費用",$O$1:$O$2,"八重洲")</f>
        <v>0</v>
      </c>
      <c r="F61" s="14">
        <f>SUMIFS($D$1:$D$2,$C$1:$C$2,"特定技能外国人支援初期費用",$O$1:$O$2,"滋賀")</f>
        <v>0</v>
      </c>
      <c r="G61" s="14">
        <f>SUMIFS($D$1:$D$2,$C$1:$C$2,"特定技能外国人支援初期費用",$O$1:$O$2,"神戸")</f>
        <v>0</v>
      </c>
      <c r="H61" s="14">
        <f>SUMIFS($D$1:$D$2,$C$1:$C$2,"特定技能外国人支援初期費用",$O$1:$O$2,"名古屋")</f>
        <v>0</v>
      </c>
      <c r="I61" s="14">
        <f>SUMIFS($D$1:$D$2,$C$1:$C$2,"特定技能外国人支援初期費用",$O$1:$O$2,"宮崎")</f>
        <v>0</v>
      </c>
      <c r="J61" s="14">
        <f>SUMIFS($D$1:$D$2,$C$1:$C$2,"特定技能外国人支援初期費用",$O$1:$O$2,"仙台")</f>
        <v>0</v>
      </c>
      <c r="K61" s="14">
        <f>SUMIFS($D$1:$D$2,$C$1:$C$2,"特定技能外国人支援初期費用",$O$1:$O$2,"本部")</f>
        <v>0</v>
      </c>
      <c r="L61" s="14">
        <f>SUMIFS($D$1:$D$2,$C$1:$C$2,"特定技能外国人支援初期費用",$O$1:$O$2,"札幌")</f>
        <v>0</v>
      </c>
      <c r="M61" s="32">
        <v>0</v>
      </c>
      <c r="P61" s="32">
        <f t="shared" si="1"/>
        <v>0</v>
      </c>
      <c r="U61"/>
      <c r="V61"/>
      <c r="W61"/>
    </row>
    <row r="62" spans="2:23" ht="24" x14ac:dyDescent="0.15">
      <c r="B62" s="35" t="s">
        <v>42</v>
      </c>
      <c r="C62" s="42" t="s">
        <v>82</v>
      </c>
      <c r="D62" s="40">
        <f>SUMIF($C$2:$C$8,"IHI修得支援費受入",$D$2:$D$8)</f>
        <v>0</v>
      </c>
      <c r="E62" s="37">
        <f>SUMIFS($D$1:$D$2,$C$1:$C$2,"IHI修得支援費受入",$O$1:$O$2,"八重洲")</f>
        <v>0</v>
      </c>
      <c r="F62" s="37">
        <f>SUMIFS($D$1:$D$2,$C$1:$C$2,"IHI修得支援費受入",$O$1:$O$2,"滋賀")</f>
        <v>0</v>
      </c>
      <c r="G62" s="37">
        <f>SUMIFS($D$1:$D$2,$C$1:$C$2,"IHI修得支援費受入",$O$1:$O$2,"神戸")</f>
        <v>0</v>
      </c>
      <c r="H62" s="37">
        <f>SUMIFS($D$1:$D$2,$C$1:$C$2,"IHI修得支援費受入",$O$1:$O$2,"名古屋")</f>
        <v>0</v>
      </c>
      <c r="I62" s="37">
        <f>SUMIFS($D$1:$D$2,$C$1:$C$2,"IHI修得支援費受入",$O$1:$O$2,"福岡(宮崎)")</f>
        <v>0</v>
      </c>
      <c r="J62" s="37">
        <f>SUMIFS($D$1:$D$2,$C$1:$C$2,"IHI修得支援費受入",$O$1:$O$2,"仙台")</f>
        <v>0</v>
      </c>
      <c r="K62" s="37">
        <f>SUMIFS($D$1:$D$2,$C$1:$C$2,"IHI修得支援費受入",$O$1:$O$2,"本部")</f>
        <v>0</v>
      </c>
      <c r="L62" s="37">
        <f>SUMIFS($D$1:$D$2,$C$1:$C$2,"IHI修得支援費受入",$O$1:$O$2,"札幌")</f>
        <v>0</v>
      </c>
      <c r="M62" s="32">
        <v>0</v>
      </c>
      <c r="P62" s="32">
        <f t="shared" si="1"/>
        <v>0</v>
      </c>
      <c r="U62"/>
      <c r="V62"/>
      <c r="W62"/>
    </row>
    <row r="63" spans="2:23" x14ac:dyDescent="0.15">
      <c r="B63" s="49"/>
      <c r="C63" s="9" t="s">
        <v>83</v>
      </c>
      <c r="D63" s="40">
        <f>SUMIF($C$2:$C$8,"資格取得支援費受入",$D$2:$D$8)</f>
        <v>0</v>
      </c>
      <c r="E63" s="14">
        <f>SUMIFS($D$1:$D$2,$C$1:$C$2,"資格取得支援費受入",$O$1:$O$2,"八重洲")</f>
        <v>0</v>
      </c>
      <c r="F63" s="14">
        <f>SUMIFS($D$1:$D$2,$C$1:$C$2,"駐在業務費",$O$1:$O$2,"滋賀")</f>
        <v>0</v>
      </c>
      <c r="G63" s="14">
        <f>SUMIFS($D$1:$D$2,$C$1:$C$2,"駐在業務費",$O$1:$O$2,"神戸")</f>
        <v>0</v>
      </c>
      <c r="H63" s="14">
        <f>SUMIFS($D$1:$D$2,$C$1:$C$2,"駐在業務費",$O$1:$O$2,"名古屋")</f>
        <v>0</v>
      </c>
      <c r="I63" s="14">
        <f>SUMIFS($D$1:$D$2,$C$1:$C$2,"駐在業務費",$O$1:$O$2,"福岡(宮崎)")</f>
        <v>0</v>
      </c>
      <c r="J63" s="14">
        <f>SUMIFS($D$1:$D$2,$C$1:$C$2,"駐在業務費",$O$1:$O$2,"仙台")</f>
        <v>0</v>
      </c>
      <c r="K63" s="14">
        <f>SUMIFS($D$1:$D$2,$C$1:$C$2,"駐在業務費",$O$1:$O$2,"本部")</f>
        <v>0</v>
      </c>
      <c r="L63" s="14">
        <f>SUMIFS($D$1:$D$2,$C$1:$C$2,"駐在業務費",$O$1:$O$2,"札幌")</f>
        <v>0</v>
      </c>
      <c r="M63" s="32">
        <v>0</v>
      </c>
      <c r="P63" s="32">
        <f t="shared" si="1"/>
        <v>0</v>
      </c>
      <c r="U63"/>
      <c r="V63"/>
      <c r="W63"/>
    </row>
    <row r="64" spans="2:23" x14ac:dyDescent="0.15">
      <c r="B64" s="49">
        <v>335</v>
      </c>
      <c r="C64" s="9" t="s">
        <v>84</v>
      </c>
      <c r="D64" s="55">
        <f>SUMIF($C$2:$C$8,"日本語習得支援費受入",$D$2:$D$8)</f>
        <v>0</v>
      </c>
      <c r="E64" s="14">
        <f>SUMIFS($D$1:$D$2,$C$1:$C$2,"日本語習得支援費受入",$O$1:$O$2,"八重洲")</f>
        <v>0</v>
      </c>
      <c r="F64" s="14">
        <f>SUMIFS($D$1:$D$2,$C$1:$C$2,"日本語習得支援費受入",$O$1:$O$2,"滋賀")</f>
        <v>0</v>
      </c>
      <c r="G64" s="14">
        <f>SUMIFS($D$1:$D$2,$C$1:$C$2,"日本語習得支援費受入",$O$1:$O$2,"神戸")</f>
        <v>0</v>
      </c>
      <c r="H64" s="14">
        <f>SUMIFS($D$1:$D$2,$C$1:$C$2,"日本語習得支援費受入",$O$1:$O$2,"名古屋")</f>
        <v>0</v>
      </c>
      <c r="I64" s="14">
        <f>SUMIFS($D$1:$D$2,$C$1:$C$2,"日本語習得支援費受入",$O$1:$O$2,"宮崎")</f>
        <v>0</v>
      </c>
      <c r="J64" s="14">
        <f>SUMIFS($D$1:$D$2,$C$1:$C$2,"日本語習得支援費受入",$O$1:$O$2,"仙台")</f>
        <v>0</v>
      </c>
      <c r="K64" s="14">
        <f>SUMIFS($D$1:$D$2,$C$1:$C$2,"日本語習得支援費受入",$O$1:$O$2,"本部")</f>
        <v>0</v>
      </c>
      <c r="L64" s="14">
        <f>SUMIFS($D$1:$D$2,$C$1:$C$2,"日本語習得支援費受入",$O$1:$O$2,"札幌")</f>
        <v>0</v>
      </c>
      <c r="M64" s="32">
        <v>0</v>
      </c>
      <c r="P64" s="32">
        <f>D64-M64</f>
        <v>0</v>
      </c>
      <c r="U64"/>
      <c r="V64"/>
      <c r="W64"/>
    </row>
    <row r="65" spans="2:23" ht="24" x14ac:dyDescent="0.15">
      <c r="B65" s="35" t="s">
        <v>42</v>
      </c>
      <c r="C65" s="42" t="s">
        <v>85</v>
      </c>
      <c r="D65" s="55">
        <f>SUMIF($C$2:$C$8,"駐在業務費",$D$2:$D$8)</f>
        <v>0</v>
      </c>
      <c r="E65" s="37">
        <f>SUMIFS($D$1:$D$2,$C$1:$C$2,"駐在業務費",$O$1:$O$2,"八重洲")</f>
        <v>0</v>
      </c>
      <c r="F65" s="37">
        <f>SUMIFS($D$1:$D$2,$C$1:$C$2,"日本語習得支援費受入",$O$1:$O$2,"滋賀")</f>
        <v>0</v>
      </c>
      <c r="G65" s="37">
        <f>SUMIFS($D$1:$D$2,$C$1:$C$2,"日本語習得支援費受入",$O$1:$O$2,"神戸")</f>
        <v>0</v>
      </c>
      <c r="H65" s="37">
        <f>SUMIFS($D$1:$D$2,$C$1:$C$2,"日本語習得支援費受入",$O$1:$O$2,"名古屋")</f>
        <v>0</v>
      </c>
      <c r="I65" s="37">
        <f>SUMIFS($D$1:$D$2,$C$1:$C$2,"日本語習得支援費受入",$O$1:$O$2,"福岡(宮崎)")</f>
        <v>0</v>
      </c>
      <c r="J65" s="37">
        <f>SUMIFS($D$1:$D$2,$C$1:$C$2,"日本語習得支援費受入",$O$1:$O$2,"仙台")</f>
        <v>0</v>
      </c>
      <c r="K65" s="37">
        <f>SUMIFS($D$1:$D$2,$C$1:$C$2,"日本語習得支援費受入",$O$1:$O$2,"本部")</f>
        <v>0</v>
      </c>
      <c r="L65" s="37">
        <f>SUMIFS($D$1:$D$2,$C$1:$C$2,"日本語習得支援費受入",$O$1:$O$2,"札幌")</f>
        <v>0</v>
      </c>
      <c r="M65" s="32">
        <v>600000</v>
      </c>
      <c r="P65" s="32">
        <f>D65-M65</f>
        <v>-600000</v>
      </c>
      <c r="U65"/>
      <c r="V65"/>
      <c r="W65"/>
    </row>
    <row r="66" spans="2:23" x14ac:dyDescent="0.15">
      <c r="B66" s="49">
        <v>335</v>
      </c>
      <c r="C66" s="9" t="s">
        <v>86</v>
      </c>
      <c r="D66" s="55">
        <f>SUMIF($C$2:$C$8,"特定技能外国人支援初期費用",$D$2:$D$8)</f>
        <v>0</v>
      </c>
      <c r="E66" s="14"/>
      <c r="F66" s="14"/>
      <c r="G66" s="14"/>
      <c r="H66" s="14"/>
      <c r="I66" s="14"/>
      <c r="J66" s="14"/>
      <c r="K66" s="14"/>
      <c r="L66" s="14"/>
      <c r="M66" s="32">
        <v>0</v>
      </c>
      <c r="P66" s="32">
        <f>D66-M66</f>
        <v>0</v>
      </c>
      <c r="U66"/>
      <c r="V66"/>
      <c r="W66"/>
    </row>
    <row r="67" spans="2:23" x14ac:dyDescent="0.15">
      <c r="B67" s="56">
        <v>137</v>
      </c>
      <c r="C67" s="57" t="s">
        <v>87</v>
      </c>
      <c r="D67" s="55">
        <f>SUMIF($C$2:$C$8,"外部通訳翻訳費用",$D$2:$D$8)</f>
        <v>0</v>
      </c>
      <c r="E67" s="37">
        <f>SUMIFS($D$1:$D$2,$C$1:$C$2,"外部通訳翻訳費用",$O$1:$O$2,"八重洲")</f>
        <v>0</v>
      </c>
      <c r="F67" s="37">
        <f>SUMIFS($D$1:$D$2,$C$1:$C$2,"日本語習得支援費受入",$O$1:$O$2,"滋賀")</f>
        <v>0</v>
      </c>
      <c r="G67" s="37">
        <f>SUMIFS($D$1:$D$2,$C$1:$C$2,"日本語習得支援費受入",$O$1:$O$2,"神戸")</f>
        <v>0</v>
      </c>
      <c r="H67" s="37">
        <f>SUMIFS($D$1:$D$2,$C$1:$C$2,"日本語習得支援費受入",$O$1:$O$2,"名古屋")</f>
        <v>0</v>
      </c>
      <c r="I67" s="37">
        <f>SUMIFS($D$1:$D$2,$C$1:$C$2,"日本語習得支援費受入",$O$1:$O$2,"福岡(宮崎)")</f>
        <v>0</v>
      </c>
      <c r="J67" s="37">
        <f>SUMIFS($D$1:$D$2,$C$1:$C$2,"日本語習得支援費受入",$O$1:$O$2,"仙台")</f>
        <v>0</v>
      </c>
      <c r="K67" s="37">
        <f>SUMIFS($D$1:$D$2,$C$1:$C$2,"日本語習得支援費受入",$O$1:$O$2,"本部")</f>
        <v>0</v>
      </c>
      <c r="L67" s="37">
        <f>SUMIFS($D$1:$D$2,$C$1:$C$2,"日本語習得支援費受入",$O$1:$O$2,"札幌")</f>
        <v>0</v>
      </c>
      <c r="M67" s="32">
        <v>651940</v>
      </c>
      <c r="P67" s="32">
        <f>D67-M67</f>
        <v>-651940</v>
      </c>
      <c r="U67"/>
      <c r="V67"/>
      <c r="W67"/>
    </row>
    <row r="68" spans="2:23" x14ac:dyDescent="0.15">
      <c r="B68" s="58">
        <v>137</v>
      </c>
      <c r="C68" s="59" t="s">
        <v>88</v>
      </c>
      <c r="D68" s="40"/>
      <c r="E68" s="37">
        <f>SUMIFS($D$1:$D$2,$C$1:$C$2,"在留申請サポート費",$O$1:$O$2,"八重洲")</f>
        <v>0</v>
      </c>
      <c r="F68" s="37">
        <f>SUMIFS($D$1:$D$2,$C$1:$C$2,"在留申請サポート費",$O$1:$O$2,"滋賀")</f>
        <v>0</v>
      </c>
      <c r="G68" s="37">
        <f>SUMIFS($D$1:$D$2,$C$1:$C$2,"在留申請サポート費",$O$1:$O$2,"神戸")</f>
        <v>0</v>
      </c>
      <c r="H68" s="37">
        <f>SUMIFS($D$1:$D$2,$C$1:$C$2,"在留申請サポート費",$O$1:$O$2,"名古屋")</f>
        <v>0</v>
      </c>
      <c r="I68" s="37">
        <f>SUMIFS($D$1:$D$2,$C$1:$C$2,"在留申請サポート費",$O$1:$O$2,"福岡(宮崎)")</f>
        <v>0</v>
      </c>
      <c r="J68" s="37">
        <f>SUMIFS($D$1:$D$2,$C$1:$C$2,"在留申請サポート費",$O$1:$O$2,"仙台")</f>
        <v>0</v>
      </c>
      <c r="K68" s="37">
        <f>SUMIFS($D$1:$D$2,$C$1:$C$2,"在留申請サポート費",$O$1:$O$2,"本部")</f>
        <v>0</v>
      </c>
      <c r="L68" s="37">
        <f>SUMIFS($D$1:$D$2,$C$1:$C$2,"在留申請サポート費",$O$1:$O$2,"札幌")</f>
        <v>0</v>
      </c>
      <c r="M68" s="32"/>
      <c r="P68" s="32"/>
      <c r="U68"/>
      <c r="V68"/>
      <c r="W68"/>
    </row>
    <row r="69" spans="2:23" x14ac:dyDescent="0.15">
      <c r="C69" s="26"/>
      <c r="M69" s="32"/>
      <c r="P69" s="32"/>
      <c r="U69"/>
      <c r="V69"/>
      <c r="W69"/>
    </row>
    <row r="70" spans="2:23" x14ac:dyDescent="0.15">
      <c r="C70" s="26" t="s">
        <v>89</v>
      </c>
      <c r="D70" s="10">
        <f>SUM(D12,D19,D25)</f>
        <v>0</v>
      </c>
      <c r="M70" s="32"/>
      <c r="P70" s="60"/>
      <c r="U70"/>
      <c r="V70"/>
      <c r="W70"/>
    </row>
    <row r="71" spans="2:23" x14ac:dyDescent="0.15">
      <c r="P71" s="32"/>
      <c r="U71"/>
      <c r="V71"/>
      <c r="W71"/>
    </row>
    <row r="72" spans="2:23" x14ac:dyDescent="0.15">
      <c r="U72"/>
      <c r="V72"/>
      <c r="W72"/>
    </row>
    <row r="73" spans="2:23" x14ac:dyDescent="0.15">
      <c r="U73"/>
      <c r="V73"/>
      <c r="W73"/>
    </row>
    <row r="74" spans="2:23" x14ac:dyDescent="0.15">
      <c r="U74"/>
      <c r="V74"/>
      <c r="W74"/>
    </row>
    <row r="75" spans="2:23" x14ac:dyDescent="0.15">
      <c r="U75"/>
      <c r="V75"/>
      <c r="W75"/>
    </row>
    <row r="76" spans="2:23" x14ac:dyDescent="0.15">
      <c r="U76"/>
      <c r="V76"/>
      <c r="W76"/>
    </row>
    <row r="77" spans="2:23" x14ac:dyDescent="0.15">
      <c r="U77"/>
      <c r="V77"/>
      <c r="W77"/>
    </row>
    <row r="78" spans="2:23" x14ac:dyDescent="0.15">
      <c r="U78"/>
      <c r="V78"/>
      <c r="W78"/>
    </row>
    <row r="79" spans="2:23" x14ac:dyDescent="0.15">
      <c r="U79"/>
      <c r="V79"/>
      <c r="W79"/>
    </row>
    <row r="80" spans="2:23" x14ac:dyDescent="0.15">
      <c r="U80"/>
      <c r="V80"/>
      <c r="W80"/>
    </row>
    <row r="81" spans="21:23" x14ac:dyDescent="0.15">
      <c r="U81"/>
      <c r="V81"/>
      <c r="W81"/>
    </row>
    <row r="82" spans="21:23" x14ac:dyDescent="0.15">
      <c r="U82"/>
      <c r="V82"/>
      <c r="W82"/>
    </row>
    <row r="83" spans="21:23" x14ac:dyDescent="0.15">
      <c r="U83"/>
      <c r="V83"/>
      <c r="W83"/>
    </row>
    <row r="84" spans="21:23" x14ac:dyDescent="0.15">
      <c r="U84"/>
      <c r="V84"/>
      <c r="W84"/>
    </row>
    <row r="85" spans="21:23" x14ac:dyDescent="0.15">
      <c r="U85"/>
      <c r="V85"/>
      <c r="W85"/>
    </row>
    <row r="86" spans="21:23" x14ac:dyDescent="0.15">
      <c r="U86"/>
      <c r="V86"/>
      <c r="W86"/>
    </row>
    <row r="87" spans="21:23" x14ac:dyDescent="0.15">
      <c r="U87"/>
      <c r="V87"/>
      <c r="W87"/>
    </row>
    <row r="88" spans="21:23" x14ac:dyDescent="0.15">
      <c r="U88"/>
      <c r="V88"/>
      <c r="W88"/>
    </row>
    <row r="89" spans="21:23" x14ac:dyDescent="0.15">
      <c r="U89"/>
      <c r="V89"/>
      <c r="W89"/>
    </row>
    <row r="90" spans="21:23" x14ac:dyDescent="0.15">
      <c r="U90"/>
      <c r="V90"/>
      <c r="W90"/>
    </row>
    <row r="91" spans="21:23" x14ac:dyDescent="0.15">
      <c r="U91"/>
      <c r="V91"/>
      <c r="W91"/>
    </row>
    <row r="92" spans="21:23" x14ac:dyDescent="0.15">
      <c r="U92"/>
      <c r="V92"/>
      <c r="W92"/>
    </row>
    <row r="93" spans="21:23" x14ac:dyDescent="0.15">
      <c r="U93"/>
      <c r="V93"/>
      <c r="W93"/>
    </row>
    <row r="94" spans="21:23" x14ac:dyDescent="0.15">
      <c r="U94"/>
      <c r="V94"/>
      <c r="W94"/>
    </row>
    <row r="95" spans="21:23" x14ac:dyDescent="0.15">
      <c r="U95"/>
      <c r="V95"/>
      <c r="W95"/>
    </row>
    <row r="96" spans="21:23" x14ac:dyDescent="0.15">
      <c r="U96"/>
      <c r="V96"/>
      <c r="W96"/>
    </row>
    <row r="97" spans="21:23" x14ac:dyDescent="0.15">
      <c r="U97"/>
      <c r="V97"/>
      <c r="W97"/>
    </row>
    <row r="98" spans="21:23" x14ac:dyDescent="0.15">
      <c r="U98"/>
      <c r="V98"/>
      <c r="W98"/>
    </row>
    <row r="99" spans="21:23" x14ac:dyDescent="0.15">
      <c r="U99"/>
      <c r="V99"/>
      <c r="W99"/>
    </row>
    <row r="100" spans="21:23" x14ac:dyDescent="0.15">
      <c r="U100"/>
      <c r="V100"/>
      <c r="W100"/>
    </row>
    <row r="101" spans="21:23" x14ac:dyDescent="0.15">
      <c r="U101"/>
      <c r="V101"/>
      <c r="W101"/>
    </row>
    <row r="102" spans="21:23" x14ac:dyDescent="0.15">
      <c r="U102"/>
      <c r="V102"/>
      <c r="W102"/>
    </row>
    <row r="103" spans="21:23" x14ac:dyDescent="0.15">
      <c r="U103"/>
      <c r="V103"/>
      <c r="W103"/>
    </row>
    <row r="104" spans="21:23" x14ac:dyDescent="0.15">
      <c r="U104"/>
      <c r="V104"/>
      <c r="W104"/>
    </row>
    <row r="105" spans="21:23" x14ac:dyDescent="0.15">
      <c r="U105"/>
      <c r="V105"/>
      <c r="W105"/>
    </row>
    <row r="106" spans="21:23" x14ac:dyDescent="0.15">
      <c r="U106"/>
      <c r="V106"/>
      <c r="W106"/>
    </row>
    <row r="107" spans="21:23" x14ac:dyDescent="0.15">
      <c r="U107"/>
      <c r="V107"/>
      <c r="W107"/>
    </row>
    <row r="108" spans="21:23" x14ac:dyDescent="0.15">
      <c r="U108"/>
      <c r="V108"/>
      <c r="W108"/>
    </row>
    <row r="109" spans="21:23" x14ac:dyDescent="0.15">
      <c r="U109"/>
      <c r="V109"/>
      <c r="W109"/>
    </row>
    <row r="110" spans="21:23" x14ac:dyDescent="0.15">
      <c r="U110"/>
      <c r="V110"/>
      <c r="W110"/>
    </row>
    <row r="111" spans="21:23" x14ac:dyDescent="0.15">
      <c r="U111"/>
      <c r="V111"/>
      <c r="W111"/>
    </row>
    <row r="112" spans="21:23" x14ac:dyDescent="0.15">
      <c r="U112"/>
      <c r="V112"/>
      <c r="W112"/>
    </row>
    <row r="113" spans="13:23" x14ac:dyDescent="0.15">
      <c r="U113"/>
      <c r="V113"/>
      <c r="W113"/>
    </row>
    <row r="114" spans="13:23" x14ac:dyDescent="0.15">
      <c r="U114"/>
      <c r="V114"/>
      <c r="W114"/>
    </row>
    <row r="115" spans="13:23" x14ac:dyDescent="0.15">
      <c r="M115" s="61"/>
      <c r="U115"/>
      <c r="V115"/>
      <c r="W115"/>
    </row>
    <row r="116" spans="13:23" x14ac:dyDescent="0.15">
      <c r="U116"/>
      <c r="V116"/>
      <c r="W116"/>
    </row>
  </sheetData>
  <autoFilter ref="A1:Z2" xr:uid="{98E39660-9D33-4BCA-97CB-DE1E63ADD611}"/>
  <phoneticPr fontId="3"/>
  <pageMargins left="0.39370078740157483" right="0.51181102362204722" top="0.35433070866141736" bottom="0.35433070866141736" header="0.19685039370078741" footer="0.15748031496062992"/>
  <pageSetup paperSize="9" scale="75" fitToHeight="0" orientation="portrait" r:id="rId1"/>
  <headerFooter>
    <oddHeader>&amp;A</oddHeader>
  </headerFooter>
  <rowBreaks count="1" manualBreakCount="1">
    <brk id="1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2026.1月0129</vt:lpstr>
      <vt:lpstr>'2026.1月0129'!Print_Area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kunugi</dc:creator>
  <cp:lastModifiedBy>睦子 大谷</cp:lastModifiedBy>
  <dcterms:created xsi:type="dcterms:W3CDTF">2026-02-10T08:20:47Z</dcterms:created>
  <dcterms:modified xsi:type="dcterms:W3CDTF">2026-02-18T03:00:41Z</dcterms:modified>
</cp:coreProperties>
</file>